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tabRatio="789" activeTab="0"/>
  </bookViews>
  <sheets>
    <sheet name="2022" sheetId="1" r:id="rId1"/>
    <sheet name="2023" sheetId="2" r:id="rId2"/>
    <sheet name="2024" sheetId="3" r:id="rId3"/>
  </sheets>
  <definedNames/>
  <calcPr fullCalcOnLoad="1"/>
</workbook>
</file>

<file path=xl/sharedStrings.xml><?xml version="1.0" encoding="utf-8"?>
<sst xmlns="http://schemas.openxmlformats.org/spreadsheetml/2006/main" count="194" uniqueCount="69">
  <si>
    <t>Численность</t>
  </si>
  <si>
    <t>Коэф-т Z</t>
  </si>
  <si>
    <t>Допуск</t>
  </si>
  <si>
    <t>Уточ. расходы</t>
  </si>
  <si>
    <t>Р-ПД  (Дефицит)</t>
  </si>
  <si>
    <t>Допуск к дотации</t>
  </si>
  <si>
    <t>Образование ФФПП</t>
  </si>
  <si>
    <t>Т1</t>
  </si>
  <si>
    <t>Т1 уточнен.</t>
  </si>
  <si>
    <t>Р-(ПД +Т1) (Дефицит)</t>
  </si>
  <si>
    <t>Допуск к Т2</t>
  </si>
  <si>
    <t>Корректировка</t>
  </si>
  <si>
    <t>Т2</t>
  </si>
  <si>
    <t>Итого Дотация Т1+Т2</t>
  </si>
  <si>
    <t xml:space="preserve">Название поселения           </t>
  </si>
  <si>
    <t xml:space="preserve">Кулотинское городское поселение          </t>
  </si>
  <si>
    <t xml:space="preserve">Окуловское городское поселение          </t>
  </si>
  <si>
    <t xml:space="preserve">Угловское городское поселение           </t>
  </si>
  <si>
    <t xml:space="preserve">Березовикское сельское поселение        </t>
  </si>
  <si>
    <t xml:space="preserve">Котовское сельское поселение            </t>
  </si>
  <si>
    <t xml:space="preserve">Турбинное сельское поселение            </t>
  </si>
  <si>
    <t>ИТОГО по поселениям</t>
  </si>
  <si>
    <t>Коэффициент Z (i) = ∑ к-т Z - доход на душу (i)</t>
  </si>
  <si>
    <t xml:space="preserve">∑к-т Z = ∑ доход на душу* 2 </t>
  </si>
  <si>
    <t xml:space="preserve">(тыс.рублей ) </t>
  </si>
  <si>
    <t>ИТОГО доходы</t>
  </si>
  <si>
    <t>описание границ</t>
  </si>
  <si>
    <t>0300</t>
  </si>
  <si>
    <t>0113</t>
  </si>
  <si>
    <t>0707</t>
  </si>
  <si>
    <t>0800</t>
  </si>
  <si>
    <t>1100</t>
  </si>
  <si>
    <t>0409</t>
  </si>
  <si>
    <t>0500</t>
  </si>
  <si>
    <t>редакция</t>
  </si>
  <si>
    <t>0107</t>
  </si>
  <si>
    <t>общегосударственные вопросы</t>
  </si>
  <si>
    <t>выборы</t>
  </si>
  <si>
    <t>против. безоп. 03</t>
  </si>
  <si>
    <t>дороги 0409</t>
  </si>
  <si>
    <t>молод.политика 0707</t>
  </si>
  <si>
    <t>культура 0800</t>
  </si>
  <si>
    <t>физ-ра 1100</t>
  </si>
  <si>
    <t>ИТОГО расходы</t>
  </si>
  <si>
    <t>Доходы на душу населения</t>
  </si>
  <si>
    <t>Боровёнковское сельское поселение</t>
  </si>
  <si>
    <t>0412</t>
  </si>
  <si>
    <t>0102, 0104, 223 по 0113</t>
  </si>
  <si>
    <t>пенсии</t>
  </si>
  <si>
    <t>1000</t>
  </si>
  <si>
    <t>капремонт</t>
  </si>
  <si>
    <t>убытки бань</t>
  </si>
  <si>
    <t>благоустройство</t>
  </si>
  <si>
    <t>1300</t>
  </si>
  <si>
    <t>обсл.мун.долга</t>
  </si>
  <si>
    <t>старосты</t>
  </si>
  <si>
    <t>Методика по расчету дотации на выравнивание уровня бюджетной обеспеченности поселений Окуловского муниципального района из районного фонда финансовой поддержки поселений на 2022 год</t>
  </si>
  <si>
    <t>налоговые</t>
  </si>
  <si>
    <t>неналоговые</t>
  </si>
  <si>
    <t>Доходы</t>
  </si>
  <si>
    <t>2020 год в бюджете 2019-2021</t>
  </si>
  <si>
    <t>Методика по расчету дотации на выравнивание уровня бюджетной обеспеченности поселений Окуловского муниципального района из районного фонда финансовой поддержки поселений на 2023 год</t>
  </si>
  <si>
    <t>до МРОТ</t>
  </si>
  <si>
    <t>проч</t>
  </si>
  <si>
    <t>80%</t>
  </si>
  <si>
    <t>Методика по расчету дотации на выравнивание уровня бюджетной обеспеченности поселений Окуловского муниципального района из районного фонда финансовой поддержки поселений на 2024 год</t>
  </si>
  <si>
    <t>80 процентов</t>
  </si>
  <si>
    <t>МФ</t>
  </si>
  <si>
    <t>разница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</si>
</sst>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000"/>
    <numFmt numFmtId="194" formatCode="0.00000"/>
    <numFmt numFmtId="195" formatCode="#,##0.00000"/>
    <numFmt numFmtId="196" formatCode="#,##0.0000"/>
    <numFmt numFmtId="197" formatCode="#,##0.000"/>
    <numFmt numFmtId="198" formatCode="0.0"/>
    <numFmt numFmtId="199" formatCode="0.000"/>
    <numFmt numFmtId="200" formatCode="0.000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92" fontId="0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vertical="top" wrapText="1"/>
    </xf>
    <xf numFmtId="0" fontId="0" fillId="0" borderId="0" xfId="0" applyFont="1" applyFill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49" fontId="0" fillId="0" borderId="0" xfId="0" applyNumberFormat="1" applyFont="1" applyFill="1" applyAlignment="1">
      <alignment/>
    </xf>
    <xf numFmtId="49" fontId="1" fillId="0" borderId="11" xfId="0" applyNumberFormat="1" applyFont="1" applyFill="1" applyBorder="1" applyAlignment="1">
      <alignment/>
    </xf>
    <xf numFmtId="192" fontId="7" fillId="33" borderId="11" xfId="0" applyNumberFormat="1" applyFont="1" applyFill="1" applyBorder="1" applyAlignment="1">
      <alignment horizontal="center" shrinkToFit="1"/>
    </xf>
    <xf numFmtId="192" fontId="0" fillId="0" borderId="0" xfId="0" applyNumberFormat="1" applyFont="1" applyFill="1" applyAlignment="1">
      <alignment shrinkToFit="1"/>
    </xf>
    <xf numFmtId="0" fontId="0" fillId="0" borderId="0" xfId="0" applyFont="1" applyFill="1" applyAlignment="1">
      <alignment shrinkToFit="1"/>
    </xf>
    <xf numFmtId="3" fontId="0" fillId="0" borderId="0" xfId="0" applyNumberFormat="1" applyFont="1" applyFill="1" applyAlignment="1">
      <alignment shrinkToFi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192" fontId="0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192" fontId="8" fillId="0" borderId="11" xfId="0" applyNumberFormat="1" applyFont="1" applyFill="1" applyBorder="1" applyAlignment="1">
      <alignment horizontal="right"/>
    </xf>
    <xf numFmtId="192" fontId="8" fillId="34" borderId="11" xfId="0" applyNumberFormat="1" applyFont="1" applyFill="1" applyBorder="1" applyAlignment="1">
      <alignment horizontal="center" shrinkToFit="1"/>
    </xf>
    <xf numFmtId="200" fontId="0" fillId="0" borderId="0" xfId="0" applyNumberFormat="1" applyFont="1" applyFill="1" applyAlignment="1">
      <alignment/>
    </xf>
    <xf numFmtId="49" fontId="1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192" fontId="8" fillId="0" borderId="11" xfId="0" applyNumberFormat="1" applyFont="1" applyFill="1" applyBorder="1" applyAlignment="1">
      <alignment horizontal="right" shrinkToFit="1"/>
    </xf>
    <xf numFmtId="4" fontId="8" fillId="0" borderId="11" xfId="0" applyNumberFormat="1" applyFont="1" applyFill="1" applyBorder="1" applyAlignment="1">
      <alignment horizontal="center" shrinkToFit="1"/>
    </xf>
    <xf numFmtId="192" fontId="8" fillId="0" borderId="11" xfId="0" applyNumberFormat="1" applyFont="1" applyFill="1" applyBorder="1" applyAlignment="1">
      <alignment horizontal="center" shrinkToFit="1"/>
    </xf>
    <xf numFmtId="192" fontId="9" fillId="0" borderId="11" xfId="0" applyNumberFormat="1" applyFont="1" applyFill="1" applyBorder="1" applyAlignment="1">
      <alignment horizontal="center" shrinkToFit="1"/>
    </xf>
    <xf numFmtId="192" fontId="45" fillId="0" borderId="11" xfId="0" applyNumberFormat="1" applyFont="1" applyFill="1" applyBorder="1" applyAlignment="1">
      <alignment horizontal="center" shrinkToFit="1"/>
    </xf>
    <xf numFmtId="3" fontId="9" fillId="33" borderId="11" xfId="0" applyNumberFormat="1" applyFont="1" applyFill="1" applyBorder="1" applyAlignment="1">
      <alignment horizontal="center" shrinkToFit="1"/>
    </xf>
    <xf numFmtId="192" fontId="9" fillId="33" borderId="11" xfId="0" applyNumberFormat="1" applyFont="1" applyFill="1" applyBorder="1" applyAlignment="1">
      <alignment horizontal="center" shrinkToFit="1"/>
    </xf>
    <xf numFmtId="4" fontId="9" fillId="33" borderId="11" xfId="0" applyNumberFormat="1" applyFont="1" applyFill="1" applyBorder="1" applyAlignment="1">
      <alignment horizontal="center" shrinkToFit="1"/>
    </xf>
    <xf numFmtId="192" fontId="8" fillId="0" borderId="11" xfId="0" applyNumberFormat="1" applyFont="1" applyFill="1" applyBorder="1" applyAlignment="1">
      <alignment/>
    </xf>
    <xf numFmtId="192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3" fontId="8" fillId="0" borderId="11" xfId="0" applyNumberFormat="1" applyFont="1" applyFill="1" applyBorder="1" applyAlignment="1">
      <alignment horizontal="center" shrinkToFit="1"/>
    </xf>
    <xf numFmtId="0" fontId="1" fillId="0" borderId="11" xfId="0" applyFont="1" applyFill="1" applyBorder="1" applyAlignment="1">
      <alignment/>
    </xf>
    <xf numFmtId="192" fontId="6" fillId="0" borderId="11" xfId="0" applyNumberFormat="1" applyFont="1" applyFill="1" applyBorder="1" applyAlignment="1">
      <alignment/>
    </xf>
    <xf numFmtId="194" fontId="0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0" fillId="0" borderId="14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192" fontId="4" fillId="0" borderId="13" xfId="0" applyNumberFormat="1" applyFont="1" applyFill="1" applyBorder="1" applyAlignment="1">
      <alignment horizontal="center" vertical="center" wrapText="1"/>
    </xf>
    <xf numFmtId="192" fontId="4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5"/>
  <sheetViews>
    <sheetView tabSelected="1" zoomScalePageLayoutView="0" workbookViewId="0" topLeftCell="A1">
      <selection activeCell="AA30" sqref="AA30"/>
    </sheetView>
  </sheetViews>
  <sheetFormatPr defaultColWidth="9.140625" defaultRowHeight="12.75"/>
  <cols>
    <col min="1" max="1" width="2.140625" style="2" customWidth="1"/>
    <col min="2" max="2" width="10.57421875" style="7" customWidth="1"/>
    <col min="3" max="3" width="6.57421875" style="2" customWidth="1"/>
    <col min="4" max="4" width="8.8515625" style="2" customWidth="1"/>
    <col min="5" max="5" width="7.57421875" style="2" customWidth="1"/>
    <col min="6" max="6" width="9.140625" style="2" customWidth="1"/>
    <col min="7" max="7" width="4.7109375" style="2" customWidth="1"/>
    <col min="8" max="8" width="4.140625" style="2" customWidth="1"/>
    <col min="9" max="9" width="4.140625" style="2" bestFit="1" customWidth="1"/>
    <col min="10" max="10" width="8.140625" style="2" bestFit="1" customWidth="1"/>
    <col min="11" max="11" width="5.28125" style="2" customWidth="1"/>
    <col min="12" max="12" width="5.421875" style="2" customWidth="1"/>
    <col min="13" max="13" width="4.7109375" style="2" customWidth="1"/>
    <col min="14" max="16" width="4.57421875" style="2" customWidth="1"/>
    <col min="17" max="17" width="7.140625" style="2" customWidth="1"/>
    <col min="18" max="19" width="5.57421875" style="2" customWidth="1"/>
    <col min="20" max="20" width="6.7109375" style="2" customWidth="1"/>
    <col min="21" max="21" width="6.00390625" style="2" customWidth="1"/>
    <col min="22" max="22" width="4.28125" style="2" customWidth="1"/>
    <col min="23" max="25" width="5.140625" style="2" customWidth="1"/>
    <col min="26" max="26" width="4.7109375" style="2" customWidth="1"/>
    <col min="27" max="27" width="9.140625" style="2" customWidth="1"/>
    <col min="28" max="28" width="4.57421875" style="2" customWidth="1"/>
    <col min="29" max="29" width="8.140625" style="2" customWidth="1"/>
    <col min="30" max="30" width="8.7109375" style="2" bestFit="1" customWidth="1"/>
    <col min="31" max="31" width="4.57421875" style="2" bestFit="1" customWidth="1"/>
    <col min="32" max="32" width="7.8515625" style="2" customWidth="1"/>
    <col min="33" max="33" width="6.8515625" style="2" customWidth="1"/>
    <col min="34" max="34" width="6.421875" style="2" customWidth="1"/>
    <col min="35" max="35" width="8.140625" style="2" bestFit="1" customWidth="1"/>
    <col min="36" max="36" width="3.57421875" style="2" bestFit="1" customWidth="1"/>
    <col min="37" max="37" width="4.00390625" style="2" bestFit="1" customWidth="1"/>
    <col min="38" max="38" width="6.00390625" style="2" customWidth="1"/>
    <col min="39" max="39" width="9.140625" style="2" customWidth="1"/>
    <col min="40" max="40" width="0" style="2" hidden="1" customWidth="1"/>
    <col min="41" max="16384" width="9.140625" style="2" customWidth="1"/>
  </cols>
  <sheetData>
    <row r="1" spans="1:39" ht="34.5" customHeight="1">
      <c r="A1" s="49" t="s">
        <v>56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</row>
    <row r="2" spans="2:39" ht="12.75">
      <c r="B2" s="13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J2" s="50" t="s">
        <v>24</v>
      </c>
      <c r="AK2" s="50"/>
      <c r="AL2" s="50"/>
      <c r="AM2" s="51"/>
    </row>
    <row r="3" spans="1:40" s="7" customFormat="1" ht="57" customHeight="1">
      <c r="A3" s="52"/>
      <c r="B3" s="54" t="s">
        <v>14</v>
      </c>
      <c r="C3" s="56" t="s">
        <v>0</v>
      </c>
      <c r="D3" s="58" t="s">
        <v>59</v>
      </c>
      <c r="E3" s="58"/>
      <c r="F3" s="56" t="s">
        <v>25</v>
      </c>
      <c r="G3" s="58" t="s">
        <v>44</v>
      </c>
      <c r="H3" s="59" t="s">
        <v>1</v>
      </c>
      <c r="I3" s="59" t="s">
        <v>2</v>
      </c>
      <c r="J3" s="22" t="s">
        <v>36</v>
      </c>
      <c r="K3" s="22" t="s">
        <v>62</v>
      </c>
      <c r="L3" s="22" t="s">
        <v>55</v>
      </c>
      <c r="M3" s="6" t="s">
        <v>37</v>
      </c>
      <c r="N3" s="6" t="s">
        <v>34</v>
      </c>
      <c r="O3" s="6" t="s">
        <v>26</v>
      </c>
      <c r="P3" s="6" t="s">
        <v>38</v>
      </c>
      <c r="Q3" s="6" t="s">
        <v>39</v>
      </c>
      <c r="R3" s="6" t="s">
        <v>50</v>
      </c>
      <c r="S3" s="6" t="s">
        <v>51</v>
      </c>
      <c r="T3" s="22" t="s">
        <v>52</v>
      </c>
      <c r="U3" s="6" t="s">
        <v>63</v>
      </c>
      <c r="V3" s="6" t="s">
        <v>40</v>
      </c>
      <c r="W3" s="6" t="s">
        <v>41</v>
      </c>
      <c r="X3" s="6" t="s">
        <v>48</v>
      </c>
      <c r="Y3" s="6" t="s">
        <v>42</v>
      </c>
      <c r="Z3" s="21" t="s">
        <v>54</v>
      </c>
      <c r="AA3" s="59" t="s">
        <v>43</v>
      </c>
      <c r="AB3" s="59" t="s">
        <v>11</v>
      </c>
      <c r="AC3" s="59" t="s">
        <v>3</v>
      </c>
      <c r="AD3" s="59" t="s">
        <v>4</v>
      </c>
      <c r="AE3" s="59" t="s">
        <v>5</v>
      </c>
      <c r="AF3" s="59" t="s">
        <v>6</v>
      </c>
      <c r="AG3" s="59" t="s">
        <v>7</v>
      </c>
      <c r="AH3" s="59" t="s">
        <v>8</v>
      </c>
      <c r="AI3" s="59" t="s">
        <v>9</v>
      </c>
      <c r="AJ3" s="59" t="s">
        <v>10</v>
      </c>
      <c r="AK3" s="59" t="s">
        <v>11</v>
      </c>
      <c r="AL3" s="59" t="s">
        <v>12</v>
      </c>
      <c r="AM3" s="61" t="s">
        <v>13</v>
      </c>
      <c r="AN3" s="26" t="s">
        <v>60</v>
      </c>
    </row>
    <row r="4" spans="1:40" s="8" customFormat="1" ht="33.75">
      <c r="A4" s="53"/>
      <c r="B4" s="55"/>
      <c r="C4" s="57"/>
      <c r="D4" s="12" t="s">
        <v>57</v>
      </c>
      <c r="E4" s="12" t="s">
        <v>58</v>
      </c>
      <c r="F4" s="57"/>
      <c r="G4" s="58"/>
      <c r="H4" s="60"/>
      <c r="I4" s="60"/>
      <c r="J4" s="12" t="s">
        <v>47</v>
      </c>
      <c r="K4" s="12"/>
      <c r="L4" s="12"/>
      <c r="M4" s="12" t="s">
        <v>35</v>
      </c>
      <c r="N4" s="12" t="s">
        <v>28</v>
      </c>
      <c r="O4" s="12" t="s">
        <v>46</v>
      </c>
      <c r="P4" s="12" t="s">
        <v>27</v>
      </c>
      <c r="Q4" s="12" t="s">
        <v>32</v>
      </c>
      <c r="R4" s="62" t="s">
        <v>33</v>
      </c>
      <c r="S4" s="63"/>
      <c r="T4" s="63"/>
      <c r="U4" s="12"/>
      <c r="V4" s="12" t="s">
        <v>29</v>
      </c>
      <c r="W4" s="12" t="s">
        <v>30</v>
      </c>
      <c r="X4" s="12" t="s">
        <v>49</v>
      </c>
      <c r="Y4" s="12" t="s">
        <v>31</v>
      </c>
      <c r="Z4" s="20" t="s">
        <v>53</v>
      </c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1"/>
      <c r="AN4" s="15"/>
    </row>
    <row r="5" spans="1:40" ht="33.75">
      <c r="A5" s="1">
        <v>2</v>
      </c>
      <c r="B5" s="4" t="s">
        <v>16</v>
      </c>
      <c r="C5" s="45">
        <v>9845</v>
      </c>
      <c r="D5" s="36">
        <v>36045.4</v>
      </c>
      <c r="E5" s="36">
        <v>2018</v>
      </c>
      <c r="F5" s="34">
        <f>SUM(D5:E5)</f>
        <v>38063.4</v>
      </c>
      <c r="G5" s="35">
        <f aca="true" t="shared" si="0" ref="G5:G12">F5/C5</f>
        <v>3.8662671406805487</v>
      </c>
      <c r="H5" s="36">
        <f>$H$12-G5</f>
        <v>5.287791160967107</v>
      </c>
      <c r="I5" s="36">
        <f aca="true" t="shared" si="1" ref="I5:I11">+IF($H$12&gt;G5,1,0)</f>
        <v>1</v>
      </c>
      <c r="J5" s="27">
        <v>213.3</v>
      </c>
      <c r="K5" s="27"/>
      <c r="L5" s="27"/>
      <c r="M5" s="36"/>
      <c r="N5" s="36">
        <v>40</v>
      </c>
      <c r="O5" s="36">
        <v>34.1</v>
      </c>
      <c r="P5" s="36">
        <v>324.9</v>
      </c>
      <c r="Q5" s="36">
        <v>5216.1</v>
      </c>
      <c r="R5" s="36">
        <v>749.2</v>
      </c>
      <c r="S5" s="36">
        <v>1364.7</v>
      </c>
      <c r="T5" s="36">
        <v>17796.2</v>
      </c>
      <c r="U5" s="36">
        <v>3090</v>
      </c>
      <c r="V5" s="36">
        <v>14.2</v>
      </c>
      <c r="W5" s="28">
        <v>27</v>
      </c>
      <c r="X5" s="28">
        <v>0</v>
      </c>
      <c r="Y5" s="28">
        <v>48.8</v>
      </c>
      <c r="Z5" s="36"/>
      <c r="AA5" s="37">
        <f>SUM(J5:Z5)</f>
        <v>28918.5</v>
      </c>
      <c r="AB5" s="36"/>
      <c r="AC5" s="37">
        <f aca="true" t="shared" si="2" ref="AC5:AC11">AA5+AB5</f>
        <v>28918.5</v>
      </c>
      <c r="AD5" s="36">
        <f aca="true" t="shared" si="3" ref="AD5:AD11">(AC5-F5)</f>
        <v>-9144.900000000001</v>
      </c>
      <c r="AE5" s="36">
        <f aca="true" t="shared" si="4" ref="AE5:AE11">+IF(AD5&gt;0,1,0)</f>
        <v>0</v>
      </c>
      <c r="AF5" s="36">
        <f aca="true" t="shared" si="5" ref="AF5:AF10">AD5</f>
        <v>-9144.900000000001</v>
      </c>
      <c r="AG5" s="36">
        <f aca="true" t="shared" si="6" ref="AG5:AG11">0.5*I5*$AF$12*C5/$C$12</f>
        <v>-872.9233333333327</v>
      </c>
      <c r="AH5" s="36">
        <f aca="true" t="shared" si="7" ref="AH5:AH10">IF(AG5&gt;=AD5,AD5,AG5)</f>
        <v>-9144.900000000001</v>
      </c>
      <c r="AI5" s="36">
        <f aca="true" t="shared" si="8" ref="AI5:AI11">AC5-(F5+AH5)</f>
        <v>0</v>
      </c>
      <c r="AJ5" s="36">
        <f aca="true" t="shared" si="9" ref="AJ5:AJ11">+IF(AI5&gt;0,1,0)</f>
        <v>0</v>
      </c>
      <c r="AK5" s="36"/>
      <c r="AL5" s="36">
        <f aca="true" t="shared" si="10" ref="AL5:AL10">AI5*AJ5</f>
        <v>0</v>
      </c>
      <c r="AM5" s="37">
        <v>0</v>
      </c>
      <c r="AN5" s="25"/>
    </row>
    <row r="6" spans="1:40" ht="33.75">
      <c r="A6" s="1">
        <v>1</v>
      </c>
      <c r="B6" s="4" t="s">
        <v>15</v>
      </c>
      <c r="C6" s="45">
        <v>2640</v>
      </c>
      <c r="D6" s="36">
        <v>26838.9</v>
      </c>
      <c r="E6" s="36">
        <v>685</v>
      </c>
      <c r="F6" s="34">
        <f aca="true" t="shared" si="11" ref="F6:F11">SUM(D6:E6)</f>
        <v>27523.9</v>
      </c>
      <c r="G6" s="35">
        <f t="shared" si="0"/>
        <v>10.425719696969697</v>
      </c>
      <c r="H6" s="36">
        <f aca="true" t="shared" si="12" ref="H6:H11">$H$12-G6</f>
        <v>-1.2716613953220417</v>
      </c>
      <c r="I6" s="36">
        <f t="shared" si="1"/>
        <v>0</v>
      </c>
      <c r="J6" s="27">
        <v>6557.1</v>
      </c>
      <c r="K6" s="27">
        <v>25.8</v>
      </c>
      <c r="L6" s="27">
        <v>42</v>
      </c>
      <c r="M6" s="36"/>
      <c r="N6" s="36">
        <v>40</v>
      </c>
      <c r="O6" s="36">
        <v>34.1</v>
      </c>
      <c r="P6" s="36">
        <v>87.1</v>
      </c>
      <c r="Q6" s="36">
        <v>1465</v>
      </c>
      <c r="R6" s="36">
        <v>526.8</v>
      </c>
      <c r="S6" s="36">
        <v>568.9</v>
      </c>
      <c r="T6" s="36">
        <v>4503.1</v>
      </c>
      <c r="U6" s="36"/>
      <c r="V6" s="36">
        <v>3.8</v>
      </c>
      <c r="W6" s="28">
        <v>7</v>
      </c>
      <c r="X6" s="28">
        <v>231.6</v>
      </c>
      <c r="Y6" s="28">
        <v>12.9</v>
      </c>
      <c r="Z6" s="36"/>
      <c r="AA6" s="37">
        <f aca="true" t="shared" si="13" ref="AA6:AA11">SUM(J6:Z6)</f>
        <v>14105.2</v>
      </c>
      <c r="AB6" s="36"/>
      <c r="AC6" s="37">
        <f t="shared" si="2"/>
        <v>14105.2</v>
      </c>
      <c r="AD6" s="36">
        <f t="shared" si="3"/>
        <v>-13418.7</v>
      </c>
      <c r="AE6" s="36">
        <f t="shared" si="4"/>
        <v>0</v>
      </c>
      <c r="AF6" s="36">
        <f t="shared" si="5"/>
        <v>-13418.7</v>
      </c>
      <c r="AG6" s="36">
        <f t="shared" si="6"/>
        <v>0</v>
      </c>
      <c r="AH6" s="36">
        <f t="shared" si="7"/>
        <v>-13418.7</v>
      </c>
      <c r="AI6" s="36">
        <f t="shared" si="8"/>
        <v>0</v>
      </c>
      <c r="AJ6" s="36">
        <f t="shared" si="9"/>
        <v>0</v>
      </c>
      <c r="AK6" s="36"/>
      <c r="AL6" s="36">
        <f t="shared" si="10"/>
        <v>0</v>
      </c>
      <c r="AM6" s="37">
        <v>0</v>
      </c>
      <c r="AN6" s="25"/>
    </row>
    <row r="7" spans="1:40" ht="33.75">
      <c r="A7" s="1">
        <v>3</v>
      </c>
      <c r="B7" s="4" t="s">
        <v>17</v>
      </c>
      <c r="C7" s="45">
        <v>2636</v>
      </c>
      <c r="D7" s="36">
        <v>10295.3</v>
      </c>
      <c r="E7" s="36">
        <v>2373.5</v>
      </c>
      <c r="F7" s="34">
        <f t="shared" si="11"/>
        <v>12668.8</v>
      </c>
      <c r="G7" s="35">
        <f t="shared" si="0"/>
        <v>4.806069802731411</v>
      </c>
      <c r="H7" s="36">
        <f t="shared" si="12"/>
        <v>4.347988498916244</v>
      </c>
      <c r="I7" s="36">
        <f t="shared" si="1"/>
        <v>1</v>
      </c>
      <c r="J7" s="27">
        <v>6213.3</v>
      </c>
      <c r="K7" s="27">
        <v>12.9</v>
      </c>
      <c r="L7" s="27">
        <v>96</v>
      </c>
      <c r="M7" s="36"/>
      <c r="N7" s="36">
        <v>40</v>
      </c>
      <c r="O7" s="36">
        <v>34.1</v>
      </c>
      <c r="P7" s="36">
        <v>87</v>
      </c>
      <c r="Q7" s="36">
        <v>3231.3</v>
      </c>
      <c r="R7" s="36">
        <v>331.1</v>
      </c>
      <c r="S7" s="36">
        <v>352.7</v>
      </c>
      <c r="T7" s="36">
        <v>5641.7</v>
      </c>
      <c r="U7" s="36"/>
      <c r="V7" s="36">
        <v>3.9</v>
      </c>
      <c r="W7" s="28">
        <v>7</v>
      </c>
      <c r="X7" s="28">
        <v>262.8</v>
      </c>
      <c r="Y7" s="28">
        <v>12.9</v>
      </c>
      <c r="Z7" s="36"/>
      <c r="AA7" s="37">
        <f t="shared" si="13"/>
        <v>16326.7</v>
      </c>
      <c r="AB7" s="36"/>
      <c r="AC7" s="37">
        <f t="shared" si="2"/>
        <v>16326.7</v>
      </c>
      <c r="AD7" s="36">
        <f t="shared" si="3"/>
        <v>3657.9000000000015</v>
      </c>
      <c r="AE7" s="36">
        <f t="shared" si="4"/>
        <v>1</v>
      </c>
      <c r="AF7" s="36">
        <f t="shared" si="5"/>
        <v>3657.9000000000015</v>
      </c>
      <c r="AG7" s="36">
        <f t="shared" si="6"/>
        <v>-233.7253333333332</v>
      </c>
      <c r="AH7" s="36">
        <f t="shared" si="7"/>
        <v>-233.7253333333332</v>
      </c>
      <c r="AI7" s="36">
        <f t="shared" si="8"/>
        <v>3891.625333333335</v>
      </c>
      <c r="AJ7" s="36">
        <f t="shared" si="9"/>
        <v>1</v>
      </c>
      <c r="AK7" s="36"/>
      <c r="AL7" s="36">
        <f t="shared" si="10"/>
        <v>3891.625333333335</v>
      </c>
      <c r="AM7" s="37">
        <f>AH7+AL7</f>
        <v>3657.900000000002</v>
      </c>
      <c r="AN7" s="24">
        <v>958.5</v>
      </c>
    </row>
    <row r="8" spans="1:40" ht="33.75">
      <c r="A8" s="1">
        <v>4</v>
      </c>
      <c r="B8" s="4" t="s">
        <v>18</v>
      </c>
      <c r="C8" s="45">
        <v>602</v>
      </c>
      <c r="D8" s="36">
        <v>2759.6</v>
      </c>
      <c r="E8" s="36">
        <v>28.7</v>
      </c>
      <c r="F8" s="34">
        <f t="shared" si="11"/>
        <v>2788.2999999999997</v>
      </c>
      <c r="G8" s="35">
        <f t="shared" si="0"/>
        <v>4.63172757475083</v>
      </c>
      <c r="H8" s="36">
        <f t="shared" si="12"/>
        <v>4.522330726896826</v>
      </c>
      <c r="I8" s="36">
        <f t="shared" si="1"/>
        <v>1</v>
      </c>
      <c r="J8" s="27">
        <v>2540.9</v>
      </c>
      <c r="K8" s="27">
        <v>12.9</v>
      </c>
      <c r="L8" s="27"/>
      <c r="M8" s="36"/>
      <c r="N8" s="36">
        <v>40</v>
      </c>
      <c r="O8" s="36"/>
      <c r="P8" s="36">
        <v>19.9</v>
      </c>
      <c r="Q8" s="36">
        <v>1210.9</v>
      </c>
      <c r="R8" s="36"/>
      <c r="S8" s="36"/>
      <c r="T8" s="36">
        <v>912.7</v>
      </c>
      <c r="U8" s="36"/>
      <c r="V8" s="36">
        <v>1</v>
      </c>
      <c r="W8" s="28">
        <v>2</v>
      </c>
      <c r="X8" s="28">
        <v>0</v>
      </c>
      <c r="Y8" s="28">
        <v>3</v>
      </c>
      <c r="Z8" s="36"/>
      <c r="AA8" s="37">
        <f t="shared" si="13"/>
        <v>4743.3</v>
      </c>
      <c r="AB8" s="38"/>
      <c r="AC8" s="37">
        <f t="shared" si="2"/>
        <v>4743.3</v>
      </c>
      <c r="AD8" s="36">
        <f t="shared" si="3"/>
        <v>1955.0000000000005</v>
      </c>
      <c r="AE8" s="36">
        <f t="shared" si="4"/>
        <v>1</v>
      </c>
      <c r="AF8" s="36">
        <f t="shared" si="5"/>
        <v>1955.0000000000005</v>
      </c>
      <c r="AG8" s="36">
        <f t="shared" si="6"/>
        <v>-53.377333333333304</v>
      </c>
      <c r="AH8" s="36">
        <f t="shared" si="7"/>
        <v>-53.377333333333304</v>
      </c>
      <c r="AI8" s="36">
        <f t="shared" si="8"/>
        <v>2008.3773333333338</v>
      </c>
      <c r="AJ8" s="36">
        <f t="shared" si="9"/>
        <v>1</v>
      </c>
      <c r="AK8" s="36"/>
      <c r="AL8" s="36">
        <f t="shared" si="10"/>
        <v>2008.3773333333338</v>
      </c>
      <c r="AM8" s="37">
        <f>AH8+AL8</f>
        <v>1955.0000000000005</v>
      </c>
      <c r="AN8" s="24">
        <v>1039.1</v>
      </c>
    </row>
    <row r="9" spans="1:40" ht="45">
      <c r="A9" s="1">
        <v>5</v>
      </c>
      <c r="B9" s="4" t="s">
        <v>45</v>
      </c>
      <c r="C9" s="45">
        <v>1964</v>
      </c>
      <c r="D9" s="36">
        <v>4890</v>
      </c>
      <c r="E9" s="36">
        <v>5.3</v>
      </c>
      <c r="F9" s="34">
        <f t="shared" si="11"/>
        <v>4895.3</v>
      </c>
      <c r="G9" s="35">
        <f t="shared" si="0"/>
        <v>2.4925152749490835</v>
      </c>
      <c r="H9" s="36">
        <f t="shared" si="12"/>
        <v>6.661543026698572</v>
      </c>
      <c r="I9" s="36">
        <f t="shared" si="1"/>
        <v>1</v>
      </c>
      <c r="J9" s="27">
        <v>3846.6</v>
      </c>
      <c r="K9" s="27">
        <v>25.8</v>
      </c>
      <c r="L9" s="27"/>
      <c r="M9" s="36"/>
      <c r="N9" s="36">
        <v>40</v>
      </c>
      <c r="O9" s="36"/>
      <c r="P9" s="36">
        <v>64.8</v>
      </c>
      <c r="Q9" s="36">
        <v>3111</v>
      </c>
      <c r="R9" s="36"/>
      <c r="S9" s="36"/>
      <c r="T9" s="36">
        <v>5165.2</v>
      </c>
      <c r="U9" s="36"/>
      <c r="V9" s="36">
        <v>2.8</v>
      </c>
      <c r="W9" s="28">
        <v>5</v>
      </c>
      <c r="X9" s="28">
        <v>224.4</v>
      </c>
      <c r="Y9" s="28">
        <v>9.6</v>
      </c>
      <c r="Z9" s="36"/>
      <c r="AA9" s="37">
        <f t="shared" si="13"/>
        <v>12495.2</v>
      </c>
      <c r="AB9" s="38"/>
      <c r="AC9" s="37">
        <f t="shared" si="2"/>
        <v>12495.2</v>
      </c>
      <c r="AD9" s="36">
        <f t="shared" si="3"/>
        <v>7599.900000000001</v>
      </c>
      <c r="AE9" s="36">
        <f t="shared" si="4"/>
        <v>1</v>
      </c>
      <c r="AF9" s="36">
        <f t="shared" si="5"/>
        <v>7599.900000000001</v>
      </c>
      <c r="AG9" s="36">
        <f t="shared" si="6"/>
        <v>-174.14133333333322</v>
      </c>
      <c r="AH9" s="36">
        <f t="shared" si="7"/>
        <v>-174.14133333333322</v>
      </c>
      <c r="AI9" s="36">
        <f t="shared" si="8"/>
        <v>7774.041333333334</v>
      </c>
      <c r="AJ9" s="36">
        <f t="shared" si="9"/>
        <v>1</v>
      </c>
      <c r="AK9" s="36"/>
      <c r="AL9" s="36">
        <f t="shared" si="10"/>
        <v>7774.041333333334</v>
      </c>
      <c r="AM9" s="37">
        <f>AH9+AL9</f>
        <v>7599.900000000001</v>
      </c>
      <c r="AN9" s="24">
        <v>5708</v>
      </c>
    </row>
    <row r="10" spans="1:40" ht="36" customHeight="1">
      <c r="A10" s="1">
        <v>6</v>
      </c>
      <c r="B10" s="4" t="s">
        <v>19</v>
      </c>
      <c r="C10" s="45">
        <v>1600</v>
      </c>
      <c r="D10" s="36">
        <v>2437.6</v>
      </c>
      <c r="E10" s="36">
        <v>14.2</v>
      </c>
      <c r="F10" s="34">
        <f t="shared" si="11"/>
        <v>2451.7999999999997</v>
      </c>
      <c r="G10" s="35">
        <f t="shared" si="0"/>
        <v>1.5323749999999998</v>
      </c>
      <c r="H10" s="36">
        <f t="shared" si="12"/>
        <v>7.621683301647655</v>
      </c>
      <c r="I10" s="36">
        <f t="shared" si="1"/>
        <v>1</v>
      </c>
      <c r="J10" s="27">
        <v>3578.3</v>
      </c>
      <c r="K10" s="27">
        <v>12.9</v>
      </c>
      <c r="L10" s="27">
        <v>42</v>
      </c>
      <c r="M10" s="36"/>
      <c r="N10" s="36">
        <v>40</v>
      </c>
      <c r="O10" s="36"/>
      <c r="P10" s="36">
        <v>52.8</v>
      </c>
      <c r="Q10" s="36">
        <v>785.9</v>
      </c>
      <c r="R10" s="36"/>
      <c r="S10" s="36"/>
      <c r="T10" s="36">
        <v>1691.3</v>
      </c>
      <c r="U10" s="36"/>
      <c r="V10" s="36">
        <v>2.3</v>
      </c>
      <c r="W10" s="28">
        <v>5</v>
      </c>
      <c r="X10" s="28">
        <v>62.4</v>
      </c>
      <c r="Y10" s="28">
        <v>7.8</v>
      </c>
      <c r="Z10" s="36"/>
      <c r="AA10" s="37">
        <f t="shared" si="13"/>
        <v>6280.700000000001</v>
      </c>
      <c r="AB10" s="38"/>
      <c r="AC10" s="37">
        <f t="shared" si="2"/>
        <v>6280.700000000001</v>
      </c>
      <c r="AD10" s="36">
        <f t="shared" si="3"/>
        <v>3828.900000000001</v>
      </c>
      <c r="AE10" s="36">
        <f t="shared" si="4"/>
        <v>1</v>
      </c>
      <c r="AF10" s="36">
        <f t="shared" si="5"/>
        <v>3828.900000000001</v>
      </c>
      <c r="AG10" s="36">
        <f t="shared" si="6"/>
        <v>-141.86666666666656</v>
      </c>
      <c r="AH10" s="36">
        <f t="shared" si="7"/>
        <v>-141.86666666666656</v>
      </c>
      <c r="AI10" s="36">
        <f t="shared" si="8"/>
        <v>3970.7666666666673</v>
      </c>
      <c r="AJ10" s="36">
        <f t="shared" si="9"/>
        <v>1</v>
      </c>
      <c r="AK10" s="36"/>
      <c r="AL10" s="36">
        <f t="shared" si="10"/>
        <v>3970.7666666666673</v>
      </c>
      <c r="AM10" s="37">
        <f>AH10+AL10</f>
        <v>3828.9000000000005</v>
      </c>
      <c r="AN10" s="24">
        <v>3260.9</v>
      </c>
    </row>
    <row r="11" spans="1:40" ht="33.75">
      <c r="A11" s="1">
        <v>7</v>
      </c>
      <c r="B11" s="4" t="s">
        <v>20</v>
      </c>
      <c r="C11" s="45">
        <v>438</v>
      </c>
      <c r="D11" s="36">
        <v>1886.1</v>
      </c>
      <c r="E11" s="36">
        <v>4.3</v>
      </c>
      <c r="F11" s="34">
        <f t="shared" si="11"/>
        <v>1890.3999999999999</v>
      </c>
      <c r="G11" s="35">
        <f t="shared" si="0"/>
        <v>4.315981735159817</v>
      </c>
      <c r="H11" s="36">
        <f t="shared" si="12"/>
        <v>4.838076566487838</v>
      </c>
      <c r="I11" s="36">
        <f t="shared" si="1"/>
        <v>1</v>
      </c>
      <c r="J11" s="27">
        <v>2243.9</v>
      </c>
      <c r="K11" s="27">
        <v>12.9</v>
      </c>
      <c r="L11" s="27"/>
      <c r="M11" s="36"/>
      <c r="N11" s="36">
        <v>40</v>
      </c>
      <c r="O11" s="36"/>
      <c r="P11" s="36">
        <v>14.5</v>
      </c>
      <c r="Q11" s="36">
        <v>605.4</v>
      </c>
      <c r="R11" s="36"/>
      <c r="S11" s="36"/>
      <c r="T11" s="36">
        <v>993.6</v>
      </c>
      <c r="U11" s="36"/>
      <c r="V11" s="36">
        <v>1</v>
      </c>
      <c r="W11" s="28">
        <v>1</v>
      </c>
      <c r="X11" s="28">
        <v>0</v>
      </c>
      <c r="Y11" s="28">
        <v>2.1</v>
      </c>
      <c r="Z11" s="36"/>
      <c r="AA11" s="37">
        <f t="shared" si="13"/>
        <v>3914.4</v>
      </c>
      <c r="AB11" s="38"/>
      <c r="AC11" s="37">
        <f t="shared" si="2"/>
        <v>3914.4</v>
      </c>
      <c r="AD11" s="36">
        <f t="shared" si="3"/>
        <v>2024.0000000000002</v>
      </c>
      <c r="AE11" s="36">
        <f t="shared" si="4"/>
        <v>1</v>
      </c>
      <c r="AF11" s="36">
        <f>AD11</f>
        <v>2024.0000000000002</v>
      </c>
      <c r="AG11" s="36">
        <f t="shared" si="6"/>
        <v>-38.83599999999998</v>
      </c>
      <c r="AH11" s="36">
        <f>IF(AG11&gt;=AD11,AD11,AG11)</f>
        <v>-38.83599999999998</v>
      </c>
      <c r="AI11" s="36">
        <f t="shared" si="8"/>
        <v>2062.8360000000002</v>
      </c>
      <c r="AJ11" s="36">
        <f t="shared" si="9"/>
        <v>1</v>
      </c>
      <c r="AK11" s="36"/>
      <c r="AL11" s="36">
        <f>AI11*AJ11</f>
        <v>2062.8360000000002</v>
      </c>
      <c r="AM11" s="37">
        <f>AH11+AL11</f>
        <v>2024.0000000000002</v>
      </c>
      <c r="AN11" s="24">
        <v>1496.3</v>
      </c>
    </row>
    <row r="12" spans="1:40" s="10" customFormat="1" ht="33">
      <c r="A12" s="9"/>
      <c r="B12" s="23" t="s">
        <v>21</v>
      </c>
      <c r="C12" s="39">
        <f>SUM(C5:C11)</f>
        <v>19725</v>
      </c>
      <c r="D12" s="40">
        <f>SUM(D5:D11)</f>
        <v>85152.90000000002</v>
      </c>
      <c r="E12" s="40">
        <f>SUM(E5:E11)</f>
        <v>5129</v>
      </c>
      <c r="F12" s="40">
        <f>SUM(F5:F11)</f>
        <v>90281.90000000001</v>
      </c>
      <c r="G12" s="41">
        <f t="shared" si="0"/>
        <v>4.577029150823828</v>
      </c>
      <c r="H12" s="40">
        <f>G12*2</f>
        <v>9.154058301647655</v>
      </c>
      <c r="I12" s="40"/>
      <c r="J12" s="40">
        <f aca="true" t="shared" si="14" ref="J12:AM12">SUM(J5:J11)</f>
        <v>25193.4</v>
      </c>
      <c r="K12" s="40">
        <f t="shared" si="14"/>
        <v>103.20000000000002</v>
      </c>
      <c r="L12" s="40">
        <f t="shared" si="14"/>
        <v>180</v>
      </c>
      <c r="M12" s="40">
        <f t="shared" si="14"/>
        <v>0</v>
      </c>
      <c r="N12" s="40">
        <f t="shared" si="14"/>
        <v>280</v>
      </c>
      <c r="O12" s="40">
        <f t="shared" si="14"/>
        <v>102.30000000000001</v>
      </c>
      <c r="P12" s="40">
        <f t="shared" si="14"/>
        <v>650.9999999999999</v>
      </c>
      <c r="Q12" s="40">
        <f t="shared" si="14"/>
        <v>15625.6</v>
      </c>
      <c r="R12" s="40">
        <f t="shared" si="14"/>
        <v>1607.1</v>
      </c>
      <c r="S12" s="40">
        <f t="shared" si="14"/>
        <v>2286.2999999999997</v>
      </c>
      <c r="T12" s="40">
        <f t="shared" si="14"/>
        <v>36703.8</v>
      </c>
      <c r="U12" s="40">
        <f t="shared" si="14"/>
        <v>3090</v>
      </c>
      <c r="V12" s="40">
        <f t="shared" si="14"/>
        <v>29</v>
      </c>
      <c r="W12" s="40">
        <f t="shared" si="14"/>
        <v>54</v>
      </c>
      <c r="X12" s="40">
        <f t="shared" si="14"/>
        <v>781.1999999999999</v>
      </c>
      <c r="Y12" s="40">
        <f t="shared" si="14"/>
        <v>97.09999999999998</v>
      </c>
      <c r="Z12" s="40">
        <f t="shared" si="14"/>
        <v>0</v>
      </c>
      <c r="AA12" s="40">
        <f t="shared" si="14"/>
        <v>86783.99999999999</v>
      </c>
      <c r="AB12" s="40">
        <f t="shared" si="14"/>
        <v>0</v>
      </c>
      <c r="AC12" s="40">
        <f t="shared" si="14"/>
        <v>86783.99999999999</v>
      </c>
      <c r="AD12" s="40">
        <f t="shared" si="14"/>
        <v>-3497.899999999998</v>
      </c>
      <c r="AE12" s="40">
        <f t="shared" si="14"/>
        <v>5</v>
      </c>
      <c r="AF12" s="40">
        <f t="shared" si="14"/>
        <v>-3497.899999999998</v>
      </c>
      <c r="AG12" s="40">
        <f t="shared" si="14"/>
        <v>-1514.8699999999992</v>
      </c>
      <c r="AH12" s="40">
        <f t="shared" si="14"/>
        <v>-23205.546666666665</v>
      </c>
      <c r="AI12" s="40">
        <f t="shared" si="14"/>
        <v>19707.646666666667</v>
      </c>
      <c r="AJ12" s="40">
        <f t="shared" si="14"/>
        <v>5</v>
      </c>
      <c r="AK12" s="40">
        <f t="shared" si="14"/>
        <v>0</v>
      </c>
      <c r="AL12" s="40">
        <f t="shared" si="14"/>
        <v>19707.646666666667</v>
      </c>
      <c r="AM12" s="40">
        <f t="shared" si="14"/>
        <v>19065.700000000004</v>
      </c>
      <c r="AN12" s="16">
        <f>SUM(AN5:AN11)</f>
        <v>12462.8</v>
      </c>
    </row>
    <row r="13" spans="2:39" ht="12.75">
      <c r="B13" s="7" t="s">
        <v>22</v>
      </c>
      <c r="F13" s="3"/>
      <c r="J13" s="3"/>
      <c r="K13" s="3"/>
      <c r="L13" s="3"/>
      <c r="AC13" s="11"/>
      <c r="AM13" s="3"/>
    </row>
    <row r="14" spans="2:39" ht="12.75">
      <c r="B14" s="7" t="s">
        <v>23</v>
      </c>
      <c r="J14" s="17"/>
      <c r="K14" s="17"/>
      <c r="L14" s="17"/>
      <c r="M14" s="18"/>
      <c r="N14" s="18"/>
      <c r="O14" s="17"/>
      <c r="P14" s="17"/>
      <c r="Q14" s="17"/>
      <c r="R14" s="17"/>
      <c r="S14" s="18"/>
      <c r="T14" s="17"/>
      <c r="U14" s="17"/>
      <c r="V14" s="19"/>
      <c r="W14" s="17"/>
      <c r="X14" s="17"/>
      <c r="Y14" s="17"/>
      <c r="Z14" s="19"/>
      <c r="AA14" s="17"/>
      <c r="AM14" s="3"/>
    </row>
    <row r="15" spans="2:39" ht="12.75">
      <c r="B15" s="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M15" s="3"/>
    </row>
  </sheetData>
  <sheetProtection/>
  <mergeCells count="24">
    <mergeCell ref="D3:E3"/>
    <mergeCell ref="R4:T4"/>
    <mergeCell ref="AH3:AH4"/>
    <mergeCell ref="AI3:AI4"/>
    <mergeCell ref="AJ3:AJ4"/>
    <mergeCell ref="AK3:AK4"/>
    <mergeCell ref="AL3:AL4"/>
    <mergeCell ref="AM3:AM4"/>
    <mergeCell ref="AB3:AB4"/>
    <mergeCell ref="AC3:AC4"/>
    <mergeCell ref="AD3:AD4"/>
    <mergeCell ref="AE3:AE4"/>
    <mergeCell ref="AF3:AF4"/>
    <mergeCell ref="AG3:AG4"/>
    <mergeCell ref="A1:AM1"/>
    <mergeCell ref="AJ2:AM2"/>
    <mergeCell ref="A3:A4"/>
    <mergeCell ref="B3:B4"/>
    <mergeCell ref="C3:C4"/>
    <mergeCell ref="F3:F4"/>
    <mergeCell ref="G3:G4"/>
    <mergeCell ref="H3:H4"/>
    <mergeCell ref="I3:I4"/>
    <mergeCell ref="AA3:AA4"/>
  </mergeCells>
  <printOptions/>
  <pageMargins left="0.11811023622047245" right="0" top="0.7480314960629921" bottom="0" header="0.31496062992125984" footer="0.31496062992125984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6"/>
  <sheetViews>
    <sheetView zoomScalePageLayoutView="0" workbookViewId="0" topLeftCell="E1">
      <selection activeCell="AO1" sqref="AO1:AQ16384"/>
    </sheetView>
  </sheetViews>
  <sheetFormatPr defaultColWidth="9.140625" defaultRowHeight="12.75"/>
  <cols>
    <col min="1" max="1" width="2.140625" style="2" customWidth="1"/>
    <col min="2" max="2" width="10.57421875" style="7" customWidth="1"/>
    <col min="3" max="3" width="6.57421875" style="2" customWidth="1"/>
    <col min="4" max="4" width="8.8515625" style="2" customWidth="1"/>
    <col min="5" max="5" width="9.7109375" style="2" customWidth="1"/>
    <col min="6" max="6" width="9.140625" style="2" customWidth="1"/>
    <col min="7" max="7" width="4.7109375" style="2" customWidth="1"/>
    <col min="8" max="8" width="4.140625" style="2" customWidth="1"/>
    <col min="9" max="9" width="4.140625" style="2" bestFit="1" customWidth="1"/>
    <col min="10" max="10" width="8.140625" style="2" bestFit="1" customWidth="1"/>
    <col min="11" max="11" width="5.28125" style="2" customWidth="1"/>
    <col min="12" max="12" width="5.57421875" style="2" customWidth="1"/>
    <col min="13" max="13" width="4.7109375" style="2" customWidth="1"/>
    <col min="14" max="16" width="4.57421875" style="2" customWidth="1"/>
    <col min="17" max="17" width="7.140625" style="2" customWidth="1"/>
    <col min="18" max="18" width="6.421875" style="2" customWidth="1"/>
    <col min="19" max="19" width="5.8515625" style="2" customWidth="1"/>
    <col min="20" max="20" width="6.7109375" style="2" customWidth="1"/>
    <col min="21" max="21" width="4.28125" style="2" customWidth="1"/>
    <col min="22" max="24" width="5.140625" style="2" customWidth="1"/>
    <col min="25" max="25" width="4.7109375" style="2" customWidth="1"/>
    <col min="26" max="26" width="9.140625" style="2" customWidth="1"/>
    <col min="27" max="27" width="4.00390625" style="2" customWidth="1"/>
    <col min="28" max="28" width="8.140625" style="2" customWidth="1"/>
    <col min="29" max="29" width="8.7109375" style="2" bestFit="1" customWidth="1"/>
    <col min="30" max="30" width="4.57421875" style="2" bestFit="1" customWidth="1"/>
    <col min="31" max="31" width="7.8515625" style="2" customWidth="1"/>
    <col min="32" max="32" width="6.8515625" style="2" customWidth="1"/>
    <col min="33" max="33" width="6.421875" style="2" customWidth="1"/>
    <col min="34" max="34" width="8.140625" style="2" bestFit="1" customWidth="1"/>
    <col min="35" max="35" width="3.57421875" style="2" bestFit="1" customWidth="1"/>
    <col min="36" max="36" width="4.00390625" style="2" bestFit="1" customWidth="1"/>
    <col min="37" max="37" width="6.8515625" style="2" customWidth="1"/>
    <col min="38" max="38" width="9.140625" style="2" customWidth="1"/>
    <col min="39" max="39" width="0" style="2" hidden="1" customWidth="1"/>
    <col min="40" max="40" width="10.140625" style="2" customWidth="1"/>
    <col min="41" max="16384" width="9.140625" style="2" customWidth="1"/>
  </cols>
  <sheetData>
    <row r="1" spans="1:38" ht="34.5" customHeight="1">
      <c r="A1" s="49" t="s">
        <v>61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2:38" ht="12.75">
      <c r="B2" s="13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I2" s="50" t="s">
        <v>24</v>
      </c>
      <c r="AJ2" s="50"/>
      <c r="AK2" s="50"/>
      <c r="AL2" s="51"/>
    </row>
    <row r="3" spans="1:40" s="7" customFormat="1" ht="57" customHeight="1">
      <c r="A3" s="52"/>
      <c r="B3" s="54" t="s">
        <v>14</v>
      </c>
      <c r="C3" s="56" t="s">
        <v>0</v>
      </c>
      <c r="D3" s="58" t="s">
        <v>59</v>
      </c>
      <c r="E3" s="58"/>
      <c r="F3" s="56" t="s">
        <v>25</v>
      </c>
      <c r="G3" s="58" t="s">
        <v>44</v>
      </c>
      <c r="H3" s="59" t="s">
        <v>1</v>
      </c>
      <c r="I3" s="59" t="s">
        <v>2</v>
      </c>
      <c r="J3" s="22" t="s">
        <v>36</v>
      </c>
      <c r="K3" s="22" t="s">
        <v>62</v>
      </c>
      <c r="L3" s="22" t="s">
        <v>55</v>
      </c>
      <c r="M3" s="6" t="s">
        <v>37</v>
      </c>
      <c r="N3" s="6" t="s">
        <v>34</v>
      </c>
      <c r="O3" s="6" t="s">
        <v>26</v>
      </c>
      <c r="P3" s="6" t="s">
        <v>38</v>
      </c>
      <c r="Q3" s="6" t="s">
        <v>39</v>
      </c>
      <c r="R3" s="6" t="s">
        <v>50</v>
      </c>
      <c r="S3" s="6" t="s">
        <v>51</v>
      </c>
      <c r="T3" s="6" t="s">
        <v>52</v>
      </c>
      <c r="U3" s="6" t="s">
        <v>40</v>
      </c>
      <c r="V3" s="6" t="s">
        <v>41</v>
      </c>
      <c r="W3" s="6" t="s">
        <v>48</v>
      </c>
      <c r="X3" s="6" t="s">
        <v>42</v>
      </c>
      <c r="Y3" s="6" t="s">
        <v>54</v>
      </c>
      <c r="Z3" s="59" t="s">
        <v>43</v>
      </c>
      <c r="AA3" s="59" t="s">
        <v>11</v>
      </c>
      <c r="AB3" s="59" t="s">
        <v>3</v>
      </c>
      <c r="AC3" s="59" t="s">
        <v>4</v>
      </c>
      <c r="AD3" s="59" t="s">
        <v>5</v>
      </c>
      <c r="AE3" s="59" t="s">
        <v>6</v>
      </c>
      <c r="AF3" s="59" t="s">
        <v>7</v>
      </c>
      <c r="AG3" s="59" t="s">
        <v>8</v>
      </c>
      <c r="AH3" s="59" t="s">
        <v>9</v>
      </c>
      <c r="AI3" s="59" t="s">
        <v>10</v>
      </c>
      <c r="AJ3" s="59" t="s">
        <v>11</v>
      </c>
      <c r="AK3" s="59" t="s">
        <v>12</v>
      </c>
      <c r="AL3" s="61" t="s">
        <v>13</v>
      </c>
      <c r="AM3" s="26" t="s">
        <v>60</v>
      </c>
      <c r="AN3" s="64" t="s">
        <v>66</v>
      </c>
    </row>
    <row r="4" spans="1:40" s="8" customFormat="1" ht="36" customHeight="1">
      <c r="A4" s="53"/>
      <c r="B4" s="55"/>
      <c r="C4" s="57"/>
      <c r="D4" s="12" t="s">
        <v>57</v>
      </c>
      <c r="E4" s="12" t="s">
        <v>58</v>
      </c>
      <c r="F4" s="57"/>
      <c r="G4" s="58"/>
      <c r="H4" s="60"/>
      <c r="I4" s="60"/>
      <c r="J4" s="12" t="s">
        <v>47</v>
      </c>
      <c r="K4" s="12"/>
      <c r="L4" s="12"/>
      <c r="M4" s="12" t="s">
        <v>35</v>
      </c>
      <c r="N4" s="12" t="s">
        <v>28</v>
      </c>
      <c r="O4" s="12" t="s">
        <v>46</v>
      </c>
      <c r="P4" s="12" t="s">
        <v>27</v>
      </c>
      <c r="Q4" s="12" t="s">
        <v>32</v>
      </c>
      <c r="R4" s="62" t="s">
        <v>33</v>
      </c>
      <c r="S4" s="63"/>
      <c r="T4" s="63"/>
      <c r="U4" s="12" t="s">
        <v>29</v>
      </c>
      <c r="V4" s="12" t="s">
        <v>30</v>
      </c>
      <c r="W4" s="12" t="s">
        <v>49</v>
      </c>
      <c r="X4" s="12" t="s">
        <v>31</v>
      </c>
      <c r="Y4" s="12" t="s">
        <v>53</v>
      </c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1"/>
      <c r="AM4" s="15"/>
      <c r="AN4" s="65"/>
    </row>
    <row r="5" spans="1:40" ht="33.75">
      <c r="A5" s="1">
        <v>2</v>
      </c>
      <c r="B5" s="4" t="s">
        <v>16</v>
      </c>
      <c r="C5" s="45">
        <v>9845</v>
      </c>
      <c r="D5" s="36">
        <v>36775.2</v>
      </c>
      <c r="E5" s="36">
        <v>1923</v>
      </c>
      <c r="F5" s="34">
        <f aca="true" t="shared" si="0" ref="F5:F11">SUM(D5:E5)</f>
        <v>38698.2</v>
      </c>
      <c r="G5" s="35">
        <f aca="true" t="shared" si="1" ref="G5:G12">F5/C5</f>
        <v>3.93074657186389</v>
      </c>
      <c r="H5" s="36">
        <f>$H$12-G5</f>
        <v>5.397729980734336</v>
      </c>
      <c r="I5" s="36">
        <f aca="true" t="shared" si="2" ref="I5:I11">+IF($H$12&gt;G5,1,0)</f>
        <v>1</v>
      </c>
      <c r="J5" s="27">
        <v>213.3</v>
      </c>
      <c r="K5" s="27"/>
      <c r="L5" s="27"/>
      <c r="M5" s="36"/>
      <c r="N5" s="36">
        <v>40</v>
      </c>
      <c r="O5" s="36">
        <v>34.1</v>
      </c>
      <c r="P5" s="36">
        <v>324.9</v>
      </c>
      <c r="Q5" s="36">
        <v>5226.1</v>
      </c>
      <c r="R5" s="36">
        <v>749.2</v>
      </c>
      <c r="S5" s="36">
        <v>1364.7</v>
      </c>
      <c r="T5" s="36">
        <v>17796.2</v>
      </c>
      <c r="U5" s="36">
        <v>14.2</v>
      </c>
      <c r="V5" s="36">
        <v>27</v>
      </c>
      <c r="W5" s="28">
        <v>0</v>
      </c>
      <c r="X5" s="36">
        <v>48.8</v>
      </c>
      <c r="Y5" s="36"/>
      <c r="Z5" s="37">
        <f aca="true" t="shared" si="3" ref="Z5:Z11">SUM(J5:Y5)</f>
        <v>25838.5</v>
      </c>
      <c r="AA5" s="36"/>
      <c r="AB5" s="37">
        <f aca="true" t="shared" si="4" ref="AB5:AB11">Z5+AA5</f>
        <v>25838.5</v>
      </c>
      <c r="AC5" s="36">
        <f aca="true" t="shared" si="5" ref="AC5:AC11">(AB5-F5)</f>
        <v>-12859.699999999997</v>
      </c>
      <c r="AD5" s="36">
        <f aca="true" t="shared" si="6" ref="AD5:AD11">+IF(AC5&gt;0,1,0)</f>
        <v>0</v>
      </c>
      <c r="AE5" s="36">
        <f aca="true" t="shared" si="7" ref="AE5:AE10">AC5</f>
        <v>-12859.699999999997</v>
      </c>
      <c r="AF5" s="36">
        <f aca="true" t="shared" si="8" ref="AF5:AF11">0.5*I5*$AE$12*C5/$C$12</f>
        <v>-2034.2340430925226</v>
      </c>
      <c r="AG5" s="36">
        <f aca="true" t="shared" si="9" ref="AG5:AG10">IF(AF5&gt;=AC5,AC5,AF5)</f>
        <v>-12859.699999999997</v>
      </c>
      <c r="AH5" s="36">
        <f aca="true" t="shared" si="10" ref="AH5:AH11">AB5-(F5+AG5)</f>
        <v>0</v>
      </c>
      <c r="AI5" s="36">
        <f aca="true" t="shared" si="11" ref="AI5:AI11">+IF(AH5&gt;0,1,0)</f>
        <v>0</v>
      </c>
      <c r="AJ5" s="36"/>
      <c r="AK5" s="36">
        <f aca="true" t="shared" si="12" ref="AK5:AK10">AH5*AI5</f>
        <v>0</v>
      </c>
      <c r="AL5" s="37"/>
      <c r="AM5" s="42"/>
      <c r="AN5" s="43">
        <v>0</v>
      </c>
    </row>
    <row r="6" spans="1:40" ht="33.75">
      <c r="A6" s="1">
        <v>1</v>
      </c>
      <c r="B6" s="4" t="s">
        <v>15</v>
      </c>
      <c r="C6" s="45">
        <v>2640</v>
      </c>
      <c r="D6" s="36">
        <v>27718.5</v>
      </c>
      <c r="E6" s="36">
        <v>675</v>
      </c>
      <c r="F6" s="34">
        <f t="shared" si="0"/>
        <v>28393.5</v>
      </c>
      <c r="G6" s="35">
        <f t="shared" si="1"/>
        <v>10.755113636363637</v>
      </c>
      <c r="H6" s="36">
        <f aca="true" t="shared" si="13" ref="H6:H11">$H$12-G6</f>
        <v>-1.42663708376541</v>
      </c>
      <c r="I6" s="36">
        <f t="shared" si="2"/>
        <v>0</v>
      </c>
      <c r="J6" s="27">
        <v>6557.1</v>
      </c>
      <c r="K6" s="27">
        <v>25.8</v>
      </c>
      <c r="L6" s="27">
        <v>42</v>
      </c>
      <c r="M6" s="36"/>
      <c r="N6" s="36">
        <v>40</v>
      </c>
      <c r="O6" s="36">
        <v>34.1</v>
      </c>
      <c r="P6" s="36">
        <v>87.1</v>
      </c>
      <c r="Q6" s="36">
        <v>1467.8</v>
      </c>
      <c r="R6" s="36">
        <v>526.8</v>
      </c>
      <c r="S6" s="36">
        <v>568.9</v>
      </c>
      <c r="T6" s="36">
        <v>4503.1</v>
      </c>
      <c r="U6" s="36">
        <v>3.8</v>
      </c>
      <c r="V6" s="36">
        <v>7</v>
      </c>
      <c r="W6" s="28">
        <v>231.6</v>
      </c>
      <c r="X6" s="36">
        <v>12.9</v>
      </c>
      <c r="Y6" s="36"/>
      <c r="Z6" s="37">
        <f t="shared" si="3"/>
        <v>14108</v>
      </c>
      <c r="AA6" s="36"/>
      <c r="AB6" s="37">
        <f t="shared" si="4"/>
        <v>14108</v>
      </c>
      <c r="AC6" s="36">
        <f t="shared" si="5"/>
        <v>-14285.5</v>
      </c>
      <c r="AD6" s="36">
        <f t="shared" si="6"/>
        <v>0</v>
      </c>
      <c r="AE6" s="36">
        <f t="shared" si="7"/>
        <v>-14285.5</v>
      </c>
      <c r="AF6" s="36">
        <f t="shared" si="8"/>
        <v>0</v>
      </c>
      <c r="AG6" s="36">
        <f t="shared" si="9"/>
        <v>-14285.5</v>
      </c>
      <c r="AH6" s="36">
        <f t="shared" si="10"/>
        <v>0</v>
      </c>
      <c r="AI6" s="36">
        <f t="shared" si="11"/>
        <v>0</v>
      </c>
      <c r="AJ6" s="36"/>
      <c r="AK6" s="36">
        <f t="shared" si="12"/>
        <v>0</v>
      </c>
      <c r="AL6" s="37"/>
      <c r="AM6" s="42"/>
      <c r="AN6" s="43">
        <v>0</v>
      </c>
    </row>
    <row r="7" spans="1:40" ht="33.75">
      <c r="A7" s="1">
        <v>3</v>
      </c>
      <c r="B7" s="4" t="s">
        <v>17</v>
      </c>
      <c r="C7" s="45">
        <v>2636</v>
      </c>
      <c r="D7" s="36">
        <v>10448.7</v>
      </c>
      <c r="E7" s="36">
        <v>2390.2</v>
      </c>
      <c r="F7" s="34">
        <f t="shared" si="0"/>
        <v>12838.900000000001</v>
      </c>
      <c r="G7" s="35">
        <f t="shared" si="1"/>
        <v>4.870599393019727</v>
      </c>
      <c r="H7" s="36">
        <f t="shared" si="13"/>
        <v>4.4578771595785</v>
      </c>
      <c r="I7" s="36">
        <f t="shared" si="2"/>
        <v>1</v>
      </c>
      <c r="J7" s="27">
        <v>6213.3</v>
      </c>
      <c r="K7" s="27">
        <v>12.9</v>
      </c>
      <c r="L7" s="27">
        <v>96</v>
      </c>
      <c r="M7" s="36"/>
      <c r="N7" s="36">
        <v>40</v>
      </c>
      <c r="O7" s="36">
        <v>34.1</v>
      </c>
      <c r="P7" s="36">
        <v>87</v>
      </c>
      <c r="Q7" s="36">
        <v>3237.5</v>
      </c>
      <c r="R7" s="36">
        <v>331.1</v>
      </c>
      <c r="S7" s="36">
        <v>352.7</v>
      </c>
      <c r="T7" s="36">
        <v>5641.7</v>
      </c>
      <c r="U7" s="36">
        <v>3.9</v>
      </c>
      <c r="V7" s="36">
        <v>7</v>
      </c>
      <c r="W7" s="28">
        <v>262.8</v>
      </c>
      <c r="X7" s="36">
        <v>12.9</v>
      </c>
      <c r="Y7" s="36"/>
      <c r="Z7" s="37">
        <f t="shared" si="3"/>
        <v>16332.899999999998</v>
      </c>
      <c r="AA7" s="36"/>
      <c r="AB7" s="37">
        <f t="shared" si="4"/>
        <v>16332.899999999998</v>
      </c>
      <c r="AC7" s="36">
        <f t="shared" si="5"/>
        <v>3493.9999999999964</v>
      </c>
      <c r="AD7" s="36">
        <f t="shared" si="6"/>
        <v>1</v>
      </c>
      <c r="AE7" s="36">
        <f t="shared" si="7"/>
        <v>3493.9999999999964</v>
      </c>
      <c r="AF7" s="36">
        <f t="shared" si="8"/>
        <v>-544.6664233206591</v>
      </c>
      <c r="AG7" s="36">
        <f t="shared" si="9"/>
        <v>-544.6664233206591</v>
      </c>
      <c r="AH7" s="36">
        <f t="shared" si="10"/>
        <v>4038.6664233206557</v>
      </c>
      <c r="AI7" s="36">
        <f t="shared" si="11"/>
        <v>1</v>
      </c>
      <c r="AJ7" s="36"/>
      <c r="AK7" s="36">
        <f t="shared" si="12"/>
        <v>4038.6664233206557</v>
      </c>
      <c r="AL7" s="37">
        <f>AG7+AK7</f>
        <v>3493.9999999999964</v>
      </c>
      <c r="AM7" s="44">
        <v>958.5</v>
      </c>
      <c r="AN7" s="43">
        <v>2795.2</v>
      </c>
    </row>
    <row r="8" spans="1:40" ht="33.75">
      <c r="A8" s="1">
        <v>4</v>
      </c>
      <c r="B8" s="4" t="s">
        <v>18</v>
      </c>
      <c r="C8" s="45">
        <v>602</v>
      </c>
      <c r="D8" s="36">
        <v>2769.6</v>
      </c>
      <c r="E8" s="36">
        <v>28.7</v>
      </c>
      <c r="F8" s="34">
        <f t="shared" si="0"/>
        <v>2798.2999999999997</v>
      </c>
      <c r="G8" s="35">
        <f t="shared" si="1"/>
        <v>4.6483388704318935</v>
      </c>
      <c r="H8" s="36">
        <f t="shared" si="13"/>
        <v>4.680137682166333</v>
      </c>
      <c r="I8" s="36">
        <f t="shared" si="2"/>
        <v>1</v>
      </c>
      <c r="J8" s="27">
        <v>2540.9</v>
      </c>
      <c r="K8" s="27">
        <v>12.9</v>
      </c>
      <c r="L8" s="27"/>
      <c r="M8" s="36"/>
      <c r="N8" s="36">
        <v>40</v>
      </c>
      <c r="O8" s="36"/>
      <c r="P8" s="36">
        <v>19.9</v>
      </c>
      <c r="Q8" s="36">
        <v>1213.2</v>
      </c>
      <c r="R8" s="36"/>
      <c r="S8" s="36"/>
      <c r="T8" s="36">
        <v>912.7</v>
      </c>
      <c r="U8" s="36">
        <v>1</v>
      </c>
      <c r="V8" s="36">
        <v>2</v>
      </c>
      <c r="W8" s="28">
        <v>0</v>
      </c>
      <c r="X8" s="36">
        <v>3</v>
      </c>
      <c r="Y8" s="36"/>
      <c r="Z8" s="37">
        <f t="shared" si="3"/>
        <v>4745.6</v>
      </c>
      <c r="AA8" s="38"/>
      <c r="AB8" s="37">
        <f t="shared" si="4"/>
        <v>4745.6</v>
      </c>
      <c r="AC8" s="36">
        <f t="shared" si="5"/>
        <v>1947.3000000000006</v>
      </c>
      <c r="AD8" s="36">
        <f t="shared" si="6"/>
        <v>1</v>
      </c>
      <c r="AE8" s="36">
        <f t="shared" si="7"/>
        <v>1947.3000000000006</v>
      </c>
      <c r="AF8" s="36">
        <f t="shared" si="8"/>
        <v>-124.38891761723703</v>
      </c>
      <c r="AG8" s="36">
        <f t="shared" si="9"/>
        <v>-124.38891761723703</v>
      </c>
      <c r="AH8" s="36">
        <f t="shared" si="10"/>
        <v>2071.6889176172376</v>
      </c>
      <c r="AI8" s="36">
        <f t="shared" si="11"/>
        <v>1</v>
      </c>
      <c r="AJ8" s="36"/>
      <c r="AK8" s="36">
        <f t="shared" si="12"/>
        <v>2071.6889176172376</v>
      </c>
      <c r="AL8" s="37">
        <f>AG8+AK8</f>
        <v>1947.3000000000006</v>
      </c>
      <c r="AM8" s="44">
        <v>1039.1</v>
      </c>
      <c r="AN8" s="43">
        <v>1557.8</v>
      </c>
    </row>
    <row r="9" spans="1:40" ht="45">
      <c r="A9" s="1">
        <v>5</v>
      </c>
      <c r="B9" s="4" t="s">
        <v>45</v>
      </c>
      <c r="C9" s="45">
        <v>1964</v>
      </c>
      <c r="D9" s="36">
        <v>4903.8</v>
      </c>
      <c r="E9" s="36">
        <v>5.5</v>
      </c>
      <c r="F9" s="34">
        <f t="shared" si="0"/>
        <v>4909.3</v>
      </c>
      <c r="G9" s="35">
        <f t="shared" si="1"/>
        <v>2.499643584521385</v>
      </c>
      <c r="H9" s="36">
        <f t="shared" si="13"/>
        <v>6.828832968076842</v>
      </c>
      <c r="I9" s="36">
        <f t="shared" si="2"/>
        <v>1</v>
      </c>
      <c r="J9" s="27">
        <v>3846.6</v>
      </c>
      <c r="K9" s="27">
        <v>25.8</v>
      </c>
      <c r="L9" s="27"/>
      <c r="M9" s="36">
        <v>126.7</v>
      </c>
      <c r="N9" s="36">
        <v>40</v>
      </c>
      <c r="O9" s="36"/>
      <c r="P9" s="36">
        <v>64.8</v>
      </c>
      <c r="Q9" s="36">
        <v>3117</v>
      </c>
      <c r="R9" s="36"/>
      <c r="S9" s="36"/>
      <c r="T9" s="36">
        <v>5165.2</v>
      </c>
      <c r="U9" s="36">
        <v>2.8</v>
      </c>
      <c r="V9" s="36">
        <v>5</v>
      </c>
      <c r="W9" s="28">
        <v>224.4</v>
      </c>
      <c r="X9" s="36">
        <v>9.6</v>
      </c>
      <c r="Y9" s="36"/>
      <c r="Z9" s="37">
        <f t="shared" si="3"/>
        <v>12627.899999999998</v>
      </c>
      <c r="AA9" s="38"/>
      <c r="AB9" s="37">
        <f t="shared" si="4"/>
        <v>12627.899999999998</v>
      </c>
      <c r="AC9" s="36">
        <f t="shared" si="5"/>
        <v>7718.599999999998</v>
      </c>
      <c r="AD9" s="36">
        <f t="shared" si="6"/>
        <v>1</v>
      </c>
      <c r="AE9" s="36">
        <f t="shared" si="7"/>
        <v>7718.599999999998</v>
      </c>
      <c r="AF9" s="36">
        <f t="shared" si="8"/>
        <v>-405.81367807351086</v>
      </c>
      <c r="AG9" s="36">
        <f t="shared" si="9"/>
        <v>-405.81367807351086</v>
      </c>
      <c r="AH9" s="36">
        <f t="shared" si="10"/>
        <v>8124.413678073509</v>
      </c>
      <c r="AI9" s="36">
        <f t="shared" si="11"/>
        <v>1</v>
      </c>
      <c r="AJ9" s="36"/>
      <c r="AK9" s="36">
        <f t="shared" si="12"/>
        <v>8124.413678073509</v>
      </c>
      <c r="AL9" s="37">
        <f>AG9+AK9</f>
        <v>7718.599999999998</v>
      </c>
      <c r="AM9" s="44">
        <v>5708</v>
      </c>
      <c r="AN9" s="43">
        <v>6174.9</v>
      </c>
    </row>
    <row r="10" spans="1:40" ht="36" customHeight="1">
      <c r="A10" s="1">
        <v>6</v>
      </c>
      <c r="B10" s="4" t="s">
        <v>19</v>
      </c>
      <c r="C10" s="45">
        <v>1600</v>
      </c>
      <c r="D10" s="36">
        <v>2449.7</v>
      </c>
      <c r="E10" s="36">
        <v>14.2</v>
      </c>
      <c r="F10" s="34">
        <f t="shared" si="0"/>
        <v>2463.8999999999996</v>
      </c>
      <c r="G10" s="35">
        <f t="shared" si="1"/>
        <v>1.5399374999999997</v>
      </c>
      <c r="H10" s="36">
        <f t="shared" si="13"/>
        <v>7.788539052598227</v>
      </c>
      <c r="I10" s="36">
        <f t="shared" si="2"/>
        <v>1</v>
      </c>
      <c r="J10" s="27">
        <v>3578.3</v>
      </c>
      <c r="K10" s="27">
        <v>12.9</v>
      </c>
      <c r="L10" s="27">
        <v>42</v>
      </c>
      <c r="M10" s="36"/>
      <c r="N10" s="36">
        <v>40</v>
      </c>
      <c r="O10" s="36"/>
      <c r="P10" s="36">
        <v>52.8</v>
      </c>
      <c r="Q10" s="36">
        <v>787.4</v>
      </c>
      <c r="R10" s="36"/>
      <c r="S10" s="36"/>
      <c r="T10" s="36">
        <v>1691.3</v>
      </c>
      <c r="U10" s="36">
        <v>2.3</v>
      </c>
      <c r="V10" s="36">
        <v>5</v>
      </c>
      <c r="W10" s="28">
        <v>62.4</v>
      </c>
      <c r="X10" s="36">
        <v>7.8</v>
      </c>
      <c r="Y10" s="36"/>
      <c r="Z10" s="37">
        <f t="shared" si="3"/>
        <v>6282.200000000001</v>
      </c>
      <c r="AA10" s="38"/>
      <c r="AB10" s="37">
        <f t="shared" si="4"/>
        <v>6282.200000000001</v>
      </c>
      <c r="AC10" s="36">
        <f t="shared" si="5"/>
        <v>3818.300000000001</v>
      </c>
      <c r="AD10" s="36">
        <f t="shared" si="6"/>
        <v>1</v>
      </c>
      <c r="AE10" s="36">
        <f t="shared" si="7"/>
        <v>3818.300000000001</v>
      </c>
      <c r="AF10" s="36">
        <f t="shared" si="8"/>
        <v>-330.6017743979722</v>
      </c>
      <c r="AG10" s="36">
        <f t="shared" si="9"/>
        <v>-330.6017743979722</v>
      </c>
      <c r="AH10" s="36">
        <f t="shared" si="10"/>
        <v>4148.901774397973</v>
      </c>
      <c r="AI10" s="36">
        <f t="shared" si="11"/>
        <v>1</v>
      </c>
      <c r="AJ10" s="36"/>
      <c r="AK10" s="36">
        <f t="shared" si="12"/>
        <v>4148.901774397973</v>
      </c>
      <c r="AL10" s="37">
        <f>AG10+AK10</f>
        <v>3818.3000000000006</v>
      </c>
      <c r="AM10" s="44">
        <v>3260.9</v>
      </c>
      <c r="AN10" s="43">
        <v>3054.6</v>
      </c>
    </row>
    <row r="11" spans="1:40" ht="33.75">
      <c r="A11" s="1">
        <v>7</v>
      </c>
      <c r="B11" s="4" t="s">
        <v>20</v>
      </c>
      <c r="C11" s="45">
        <v>438</v>
      </c>
      <c r="D11" s="36">
        <v>1895.7</v>
      </c>
      <c r="E11" s="36">
        <v>4.3</v>
      </c>
      <c r="F11" s="34">
        <f t="shared" si="0"/>
        <v>1900</v>
      </c>
      <c r="G11" s="35">
        <f t="shared" si="1"/>
        <v>4.337899543378995</v>
      </c>
      <c r="H11" s="36">
        <f t="shared" si="13"/>
        <v>4.990577009219232</v>
      </c>
      <c r="I11" s="36">
        <f t="shared" si="2"/>
        <v>1</v>
      </c>
      <c r="J11" s="27">
        <v>2243.9</v>
      </c>
      <c r="K11" s="27">
        <v>12.9</v>
      </c>
      <c r="L11" s="27"/>
      <c r="M11" s="36"/>
      <c r="N11" s="36">
        <v>40</v>
      </c>
      <c r="O11" s="36"/>
      <c r="P11" s="36">
        <v>14.5</v>
      </c>
      <c r="Q11" s="36">
        <v>606.6</v>
      </c>
      <c r="R11" s="36"/>
      <c r="S11" s="36"/>
      <c r="T11" s="36">
        <v>993.6</v>
      </c>
      <c r="U11" s="36">
        <v>1</v>
      </c>
      <c r="V11" s="36">
        <v>1</v>
      </c>
      <c r="W11" s="28">
        <v>0</v>
      </c>
      <c r="X11" s="36">
        <v>2.1</v>
      </c>
      <c r="Y11" s="36"/>
      <c r="Z11" s="37">
        <f t="shared" si="3"/>
        <v>3915.6</v>
      </c>
      <c r="AA11" s="38"/>
      <c r="AB11" s="37">
        <f t="shared" si="4"/>
        <v>3915.6</v>
      </c>
      <c r="AC11" s="36">
        <f t="shared" si="5"/>
        <v>2015.6</v>
      </c>
      <c r="AD11" s="36">
        <f t="shared" si="6"/>
        <v>1</v>
      </c>
      <c r="AE11" s="36">
        <f>AC11</f>
        <v>2015.6</v>
      </c>
      <c r="AF11" s="36">
        <f t="shared" si="8"/>
        <v>-90.50223574144488</v>
      </c>
      <c r="AG11" s="36">
        <f>IF(AF11&gt;=AC11,AC11,AF11)</f>
        <v>-90.50223574144488</v>
      </c>
      <c r="AH11" s="36">
        <f t="shared" si="10"/>
        <v>2106.102235741445</v>
      </c>
      <c r="AI11" s="36">
        <f t="shared" si="11"/>
        <v>1</v>
      </c>
      <c r="AJ11" s="36"/>
      <c r="AK11" s="36">
        <f>AH11*AI11</f>
        <v>2106.102235741445</v>
      </c>
      <c r="AL11" s="37">
        <f>AG11+AK11</f>
        <v>2015.6000000000001</v>
      </c>
      <c r="AM11" s="44">
        <v>1496.3</v>
      </c>
      <c r="AN11" s="43">
        <v>1612.5</v>
      </c>
    </row>
    <row r="12" spans="1:40" s="10" customFormat="1" ht="33">
      <c r="A12" s="9"/>
      <c r="B12" s="23" t="s">
        <v>21</v>
      </c>
      <c r="C12" s="39">
        <f>SUM(C5:C11)</f>
        <v>19725</v>
      </c>
      <c r="D12" s="40">
        <f>SUM(D5:D11)</f>
        <v>86961.2</v>
      </c>
      <c r="E12" s="40">
        <f>SUM(E5:E11)</f>
        <v>5040.9</v>
      </c>
      <c r="F12" s="40">
        <f>SUM(F5:F11)</f>
        <v>92002.1</v>
      </c>
      <c r="G12" s="41">
        <f t="shared" si="1"/>
        <v>4.6642382762991135</v>
      </c>
      <c r="H12" s="40">
        <f>G12*2</f>
        <v>9.328476552598227</v>
      </c>
      <c r="I12" s="40">
        <f>H12*2</f>
        <v>18.656953105196454</v>
      </c>
      <c r="J12" s="40">
        <f aca="true" t="shared" si="14" ref="J12:Z12">SUM(J5:J11)</f>
        <v>25193.4</v>
      </c>
      <c r="K12" s="40">
        <f t="shared" si="14"/>
        <v>103.20000000000002</v>
      </c>
      <c r="L12" s="40">
        <f t="shared" si="14"/>
        <v>180</v>
      </c>
      <c r="M12" s="40">
        <f t="shared" si="14"/>
        <v>126.7</v>
      </c>
      <c r="N12" s="40">
        <f t="shared" si="14"/>
        <v>280</v>
      </c>
      <c r="O12" s="40">
        <f t="shared" si="14"/>
        <v>102.30000000000001</v>
      </c>
      <c r="P12" s="40">
        <f t="shared" si="14"/>
        <v>650.9999999999999</v>
      </c>
      <c r="Q12" s="40">
        <f t="shared" si="14"/>
        <v>15655.600000000002</v>
      </c>
      <c r="R12" s="40">
        <f t="shared" si="14"/>
        <v>1607.1</v>
      </c>
      <c r="S12" s="40">
        <f t="shared" si="14"/>
        <v>2286.2999999999997</v>
      </c>
      <c r="T12" s="40">
        <f t="shared" si="14"/>
        <v>36703.8</v>
      </c>
      <c r="U12" s="40">
        <f t="shared" si="14"/>
        <v>29</v>
      </c>
      <c r="V12" s="40">
        <f t="shared" si="14"/>
        <v>54</v>
      </c>
      <c r="W12" s="40">
        <f t="shared" si="14"/>
        <v>781.1999999999999</v>
      </c>
      <c r="X12" s="40">
        <f t="shared" si="14"/>
        <v>97.09999999999998</v>
      </c>
      <c r="Y12" s="40">
        <f t="shared" si="14"/>
        <v>0</v>
      </c>
      <c r="Z12" s="40">
        <f t="shared" si="14"/>
        <v>83850.7</v>
      </c>
      <c r="AA12" s="40">
        <f>SUM(AA5:AA11)</f>
        <v>0</v>
      </c>
      <c r="AB12" s="40">
        <f>SUM(AB5:AB11)</f>
        <v>83850.7</v>
      </c>
      <c r="AC12" s="40">
        <f>SUM(AC5:AC11)</f>
        <v>-8151.4000000000015</v>
      </c>
      <c r="AD12" s="40"/>
      <c r="AE12" s="40">
        <f>SUM(AE5:AE11)</f>
        <v>-8151.4000000000015</v>
      </c>
      <c r="AF12" s="40">
        <f>SUM(AF5:AF11)</f>
        <v>-3530.207072243347</v>
      </c>
      <c r="AG12" s="40">
        <f>SUM(AG5:AG11)</f>
        <v>-28641.17302915082</v>
      </c>
      <c r="AH12" s="40">
        <f>SUM(AH5:AH11)</f>
        <v>20489.773029150816</v>
      </c>
      <c r="AI12" s="40"/>
      <c r="AJ12" s="40">
        <f>SUM(AJ6:AJ11)</f>
        <v>0</v>
      </c>
      <c r="AK12" s="40">
        <f>SUM(AK5:AK11)</f>
        <v>20489.773029150816</v>
      </c>
      <c r="AL12" s="40">
        <f>SUM(AL5:AL11)</f>
        <v>18993.799999999992</v>
      </c>
      <c r="AM12" s="40">
        <f>SUM(AM5:AM11)</f>
        <v>12462.8</v>
      </c>
      <c r="AN12" s="40">
        <f>SUM(AN5:AN11)</f>
        <v>15195</v>
      </c>
    </row>
    <row r="13" spans="2:38" ht="12.75">
      <c r="B13" s="7" t="s">
        <v>22</v>
      </c>
      <c r="F13" s="3"/>
      <c r="J13" s="3"/>
      <c r="K13" s="3"/>
      <c r="L13" s="3"/>
      <c r="AB13" s="11"/>
      <c r="AL13" s="3"/>
    </row>
    <row r="14" spans="2:38" ht="12.75">
      <c r="B14" s="7" t="s">
        <v>23</v>
      </c>
      <c r="J14" s="17"/>
      <c r="K14" s="17"/>
      <c r="L14" s="17"/>
      <c r="M14" s="18"/>
      <c r="N14" s="18"/>
      <c r="O14" s="17"/>
      <c r="P14" s="17"/>
      <c r="Q14" s="17"/>
      <c r="R14" s="17"/>
      <c r="S14" s="18"/>
      <c r="T14" s="17"/>
      <c r="U14" s="19"/>
      <c r="V14" s="17"/>
      <c r="W14" s="17"/>
      <c r="X14" s="17"/>
      <c r="Y14" s="19"/>
      <c r="Z14" s="17"/>
      <c r="AL14" s="3"/>
    </row>
    <row r="15" spans="2:38" ht="12.75">
      <c r="B15" s="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L15" s="3"/>
    </row>
    <row r="16" ht="12.75">
      <c r="F16" s="3"/>
    </row>
  </sheetData>
  <sheetProtection/>
  <mergeCells count="25">
    <mergeCell ref="AA3:AA4"/>
    <mergeCell ref="D3:E3"/>
    <mergeCell ref="H3:H4"/>
    <mergeCell ref="I3:I4"/>
    <mergeCell ref="A1:AL1"/>
    <mergeCell ref="AI2:AL2"/>
    <mergeCell ref="AK3:AK4"/>
    <mergeCell ref="AL3:AL4"/>
    <mergeCell ref="R4:T4"/>
    <mergeCell ref="AJ3:AJ4"/>
    <mergeCell ref="AC3:AC4"/>
    <mergeCell ref="AG3:AG4"/>
    <mergeCell ref="AH3:AH4"/>
    <mergeCell ref="AN3:AN4"/>
    <mergeCell ref="AI3:AI4"/>
    <mergeCell ref="A3:A4"/>
    <mergeCell ref="B3:B4"/>
    <mergeCell ref="C3:C4"/>
    <mergeCell ref="AD3:AD4"/>
    <mergeCell ref="AE3:AE4"/>
    <mergeCell ref="AF3:AF4"/>
    <mergeCell ref="F3:F4"/>
    <mergeCell ref="G3:G4"/>
    <mergeCell ref="AB3:AB4"/>
    <mergeCell ref="Z3:Z4"/>
  </mergeCells>
  <printOptions/>
  <pageMargins left="0.31496062992125984" right="0" top="0.7480314960629921" bottom="0" header="0.31496062992125984" footer="0.31496062992125984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5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2.140625" style="2" customWidth="1"/>
    <col min="2" max="2" width="10.57421875" style="7" customWidth="1"/>
    <col min="3" max="3" width="6.57421875" style="2" customWidth="1"/>
    <col min="4" max="4" width="8.8515625" style="2" customWidth="1"/>
    <col min="5" max="5" width="9.7109375" style="2" customWidth="1"/>
    <col min="6" max="6" width="9.140625" style="2" customWidth="1"/>
    <col min="7" max="7" width="4.7109375" style="2" customWidth="1"/>
    <col min="8" max="8" width="4.140625" style="2" customWidth="1"/>
    <col min="9" max="9" width="4.140625" style="2" bestFit="1" customWidth="1"/>
    <col min="10" max="10" width="8.8515625" style="2" bestFit="1" customWidth="1"/>
    <col min="11" max="11" width="6.140625" style="2" customWidth="1"/>
    <col min="12" max="12" width="6.421875" style="2" customWidth="1"/>
    <col min="13" max="13" width="4.7109375" style="2" customWidth="1"/>
    <col min="14" max="16" width="4.57421875" style="2" customWidth="1"/>
    <col min="17" max="17" width="7.140625" style="2" customWidth="1"/>
    <col min="18" max="18" width="7.7109375" style="2" customWidth="1"/>
    <col min="19" max="19" width="7.57421875" style="2" customWidth="1"/>
    <col min="20" max="20" width="6.7109375" style="2" customWidth="1"/>
    <col min="21" max="21" width="4.28125" style="2" customWidth="1"/>
    <col min="22" max="24" width="5.140625" style="2" customWidth="1"/>
    <col min="25" max="25" width="4.7109375" style="2" customWidth="1"/>
    <col min="26" max="26" width="9.140625" style="2" customWidth="1"/>
    <col min="27" max="27" width="6.28125" style="2" customWidth="1"/>
    <col min="28" max="28" width="8.140625" style="2" customWidth="1"/>
    <col min="29" max="29" width="8.7109375" style="2" bestFit="1" customWidth="1"/>
    <col min="30" max="30" width="4.57421875" style="2" bestFit="1" customWidth="1"/>
    <col min="31" max="31" width="7.8515625" style="2" customWidth="1"/>
    <col min="32" max="32" width="6.8515625" style="2" customWidth="1"/>
    <col min="33" max="33" width="6.421875" style="2" customWidth="1"/>
    <col min="34" max="34" width="8.140625" style="2" bestFit="1" customWidth="1"/>
    <col min="35" max="35" width="3.57421875" style="2" bestFit="1" customWidth="1"/>
    <col min="36" max="36" width="4.00390625" style="2" bestFit="1" customWidth="1"/>
    <col min="37" max="37" width="6.00390625" style="2" customWidth="1"/>
    <col min="38" max="38" width="9.140625" style="2" customWidth="1"/>
    <col min="39" max="39" width="0" style="2" hidden="1" customWidth="1"/>
    <col min="40" max="40" width="9.7109375" style="29" bestFit="1" customWidth="1"/>
    <col min="41" max="41" width="10.57421875" style="2" bestFit="1" customWidth="1"/>
    <col min="42" max="16384" width="9.140625" style="2" customWidth="1"/>
  </cols>
  <sheetData>
    <row r="1" spans="1:38" ht="34.5" customHeight="1">
      <c r="A1" s="49" t="s">
        <v>65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2:38" ht="12.75">
      <c r="B2" s="13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I2" s="50" t="s">
        <v>24</v>
      </c>
      <c r="AJ2" s="50"/>
      <c r="AK2" s="50"/>
      <c r="AL2" s="51"/>
    </row>
    <row r="3" spans="1:43" s="7" customFormat="1" ht="57" customHeight="1">
      <c r="A3" s="66"/>
      <c r="B3" s="54" t="s">
        <v>14</v>
      </c>
      <c r="C3" s="56" t="s">
        <v>0</v>
      </c>
      <c r="D3" s="58" t="s">
        <v>59</v>
      </c>
      <c r="E3" s="58"/>
      <c r="F3" s="56" t="s">
        <v>25</v>
      </c>
      <c r="G3" s="58" t="s">
        <v>44</v>
      </c>
      <c r="H3" s="59" t="s">
        <v>1</v>
      </c>
      <c r="I3" s="59" t="s">
        <v>2</v>
      </c>
      <c r="J3" s="22" t="s">
        <v>36</v>
      </c>
      <c r="K3" s="22" t="s">
        <v>62</v>
      </c>
      <c r="L3" s="22" t="s">
        <v>55</v>
      </c>
      <c r="M3" s="6" t="s">
        <v>37</v>
      </c>
      <c r="N3" s="6" t="s">
        <v>34</v>
      </c>
      <c r="O3" s="6" t="s">
        <v>26</v>
      </c>
      <c r="P3" s="6" t="s">
        <v>38</v>
      </c>
      <c r="Q3" s="6" t="s">
        <v>39</v>
      </c>
      <c r="R3" s="6" t="s">
        <v>50</v>
      </c>
      <c r="S3" s="6" t="s">
        <v>51</v>
      </c>
      <c r="T3" s="6" t="s">
        <v>52</v>
      </c>
      <c r="U3" s="6" t="s">
        <v>40</v>
      </c>
      <c r="V3" s="6" t="s">
        <v>41</v>
      </c>
      <c r="W3" s="6" t="s">
        <v>48</v>
      </c>
      <c r="X3" s="6" t="s">
        <v>42</v>
      </c>
      <c r="Y3" s="21" t="s">
        <v>54</v>
      </c>
      <c r="Z3" s="59" t="s">
        <v>43</v>
      </c>
      <c r="AA3" s="59" t="s">
        <v>11</v>
      </c>
      <c r="AB3" s="59" t="s">
        <v>3</v>
      </c>
      <c r="AC3" s="59" t="s">
        <v>4</v>
      </c>
      <c r="AD3" s="59" t="s">
        <v>5</v>
      </c>
      <c r="AE3" s="59" t="s">
        <v>6</v>
      </c>
      <c r="AF3" s="59" t="s">
        <v>7</v>
      </c>
      <c r="AG3" s="59" t="s">
        <v>8</v>
      </c>
      <c r="AH3" s="59" t="s">
        <v>9</v>
      </c>
      <c r="AI3" s="59" t="s">
        <v>10</v>
      </c>
      <c r="AJ3" s="59" t="s">
        <v>11</v>
      </c>
      <c r="AK3" s="59" t="s">
        <v>12</v>
      </c>
      <c r="AL3" s="61" t="s">
        <v>13</v>
      </c>
      <c r="AM3" s="26" t="s">
        <v>60</v>
      </c>
      <c r="AN3" s="68" t="s">
        <v>64</v>
      </c>
      <c r="AP3" s="46" t="s">
        <v>67</v>
      </c>
      <c r="AQ3" s="46" t="s">
        <v>68</v>
      </c>
    </row>
    <row r="4" spans="1:43" s="8" customFormat="1" ht="33.75">
      <c r="A4" s="67"/>
      <c r="B4" s="55"/>
      <c r="C4" s="57"/>
      <c r="D4" s="12" t="s">
        <v>57</v>
      </c>
      <c r="E4" s="12" t="s">
        <v>58</v>
      </c>
      <c r="F4" s="57"/>
      <c r="G4" s="58"/>
      <c r="H4" s="60"/>
      <c r="I4" s="60"/>
      <c r="J4" s="12" t="s">
        <v>47</v>
      </c>
      <c r="K4" s="12"/>
      <c r="L4" s="12"/>
      <c r="M4" s="12" t="s">
        <v>35</v>
      </c>
      <c r="N4" s="12" t="s">
        <v>28</v>
      </c>
      <c r="O4" s="12" t="s">
        <v>46</v>
      </c>
      <c r="P4" s="12" t="s">
        <v>27</v>
      </c>
      <c r="Q4" s="12" t="s">
        <v>32</v>
      </c>
      <c r="R4" s="62" t="s">
        <v>33</v>
      </c>
      <c r="S4" s="63"/>
      <c r="T4" s="63"/>
      <c r="U4" s="12" t="s">
        <v>29</v>
      </c>
      <c r="V4" s="12" t="s">
        <v>30</v>
      </c>
      <c r="W4" s="12" t="s">
        <v>49</v>
      </c>
      <c r="X4" s="12" t="s">
        <v>31</v>
      </c>
      <c r="Y4" s="20" t="s">
        <v>53</v>
      </c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1"/>
      <c r="AM4" s="30"/>
      <c r="AN4" s="69"/>
      <c r="AP4" s="15"/>
      <c r="AQ4" s="15"/>
    </row>
    <row r="5" spans="1:43" ht="33.75">
      <c r="A5" s="31">
        <v>2</v>
      </c>
      <c r="B5" s="32" t="s">
        <v>16</v>
      </c>
      <c r="C5" s="45">
        <v>9845</v>
      </c>
      <c r="D5" s="36">
        <v>37696.2</v>
      </c>
      <c r="E5" s="36">
        <v>1838</v>
      </c>
      <c r="F5" s="34">
        <f aca="true" t="shared" si="0" ref="F5:F11">SUM(D5:E5)</f>
        <v>39534.2</v>
      </c>
      <c r="G5" s="35">
        <f aca="true" t="shared" si="1" ref="G5:G12">F5/C5</f>
        <v>4.015662772981209</v>
      </c>
      <c r="H5" s="36">
        <f>$H$12-G5</f>
        <v>5.548585642734887</v>
      </c>
      <c r="I5" s="36">
        <f aca="true" t="shared" si="2" ref="I5:I11">+IF($H$12&gt;G5,1,0)</f>
        <v>1</v>
      </c>
      <c r="J5" s="27">
        <v>213.3</v>
      </c>
      <c r="K5" s="27"/>
      <c r="L5" s="27"/>
      <c r="M5" s="36">
        <v>126.7</v>
      </c>
      <c r="N5" s="36">
        <v>40</v>
      </c>
      <c r="O5" s="36">
        <v>34.1</v>
      </c>
      <c r="P5" s="36">
        <v>324.9</v>
      </c>
      <c r="Q5" s="36">
        <v>5334.5</v>
      </c>
      <c r="R5" s="36">
        <v>749.2</v>
      </c>
      <c r="S5" s="36">
        <v>1364.7</v>
      </c>
      <c r="T5" s="36">
        <v>17796.2</v>
      </c>
      <c r="U5" s="36">
        <v>14.2</v>
      </c>
      <c r="V5" s="36">
        <v>27</v>
      </c>
      <c r="W5" s="28">
        <v>0</v>
      </c>
      <c r="X5" s="36">
        <v>48.8</v>
      </c>
      <c r="Y5" s="36"/>
      <c r="Z5" s="37">
        <f aca="true" t="shared" si="3" ref="Z5:Z11">SUM(J5:Y5)</f>
        <v>26073.6</v>
      </c>
      <c r="AA5" s="36"/>
      <c r="AB5" s="37">
        <f aca="true" t="shared" si="4" ref="AB5:AB11">Z5+AA5</f>
        <v>26073.6</v>
      </c>
      <c r="AC5" s="36">
        <f aca="true" t="shared" si="5" ref="AC5:AC11">(AB5-F5)</f>
        <v>-13460.599999999999</v>
      </c>
      <c r="AD5" s="36">
        <f aca="true" t="shared" si="6" ref="AD5:AD11">+IF(AC5&gt;0,1,0)</f>
        <v>0</v>
      </c>
      <c r="AE5" s="36">
        <f aca="true" t="shared" si="7" ref="AE5:AE10">AC5</f>
        <v>-13460.599999999999</v>
      </c>
      <c r="AF5" s="36">
        <f aca="true" t="shared" si="8" ref="AF5:AF11">0.5*I5*$AE$12*C5/$C$12</f>
        <v>-2533.4466666666654</v>
      </c>
      <c r="AG5" s="36">
        <f aca="true" t="shared" si="9" ref="AG5:AG10">IF(AF5&gt;=AC5,AC5,AF5)</f>
        <v>-13460.599999999999</v>
      </c>
      <c r="AH5" s="36">
        <f aca="true" t="shared" si="10" ref="AH5:AH11">AB5-(F5+AG5)</f>
        <v>0</v>
      </c>
      <c r="AI5" s="36">
        <f aca="true" t="shared" si="11" ref="AI5:AI11">+IF(AH5&gt;0,1,0)</f>
        <v>0</v>
      </c>
      <c r="AJ5" s="36"/>
      <c r="AK5" s="36">
        <f aca="true" t="shared" si="12" ref="AK5:AK10">AH5*AI5</f>
        <v>0</v>
      </c>
      <c r="AL5" s="37"/>
      <c r="AM5" s="42"/>
      <c r="AN5" s="43"/>
      <c r="AP5" s="34">
        <v>35642.6</v>
      </c>
      <c r="AQ5" s="25">
        <f aca="true" t="shared" si="13" ref="AQ5:AQ10">F5-AP5</f>
        <v>3891.5999999999985</v>
      </c>
    </row>
    <row r="6" spans="1:43" ht="33.75">
      <c r="A6" s="31">
        <v>1</v>
      </c>
      <c r="B6" s="32" t="s">
        <v>15</v>
      </c>
      <c r="C6" s="45">
        <v>2640</v>
      </c>
      <c r="D6" s="36">
        <v>28823</v>
      </c>
      <c r="E6" s="36">
        <v>665</v>
      </c>
      <c r="F6" s="34">
        <f t="shared" si="0"/>
        <v>29488</v>
      </c>
      <c r="G6" s="35">
        <f t="shared" si="1"/>
        <v>11.16969696969697</v>
      </c>
      <c r="H6" s="36">
        <f aca="true" t="shared" si="14" ref="H6:H11">$H$12-G6</f>
        <v>-1.6054485539808745</v>
      </c>
      <c r="I6" s="36">
        <f t="shared" si="2"/>
        <v>0</v>
      </c>
      <c r="J6" s="27">
        <v>6557.1</v>
      </c>
      <c r="K6" s="27">
        <v>25.8</v>
      </c>
      <c r="L6" s="27">
        <v>42</v>
      </c>
      <c r="M6" s="36"/>
      <c r="N6" s="36">
        <v>40</v>
      </c>
      <c r="O6" s="36">
        <v>34.1</v>
      </c>
      <c r="P6" s="36">
        <v>87.1</v>
      </c>
      <c r="Q6" s="36">
        <v>1498.3</v>
      </c>
      <c r="R6" s="36">
        <v>526.8</v>
      </c>
      <c r="S6" s="36">
        <v>568.9</v>
      </c>
      <c r="T6" s="36">
        <v>4503.1</v>
      </c>
      <c r="U6" s="36">
        <v>3.8</v>
      </c>
      <c r="V6" s="36">
        <v>7</v>
      </c>
      <c r="W6" s="28">
        <v>231.6</v>
      </c>
      <c r="X6" s="36">
        <v>12.9</v>
      </c>
      <c r="Y6" s="36"/>
      <c r="Z6" s="37">
        <f t="shared" si="3"/>
        <v>14138.5</v>
      </c>
      <c r="AA6" s="36"/>
      <c r="AB6" s="37">
        <f t="shared" si="4"/>
        <v>14138.5</v>
      </c>
      <c r="AC6" s="36">
        <f t="shared" si="5"/>
        <v>-15349.5</v>
      </c>
      <c r="AD6" s="36">
        <f t="shared" si="6"/>
        <v>0</v>
      </c>
      <c r="AE6" s="36">
        <f t="shared" si="7"/>
        <v>-15349.5</v>
      </c>
      <c r="AF6" s="36">
        <f t="shared" si="8"/>
        <v>0</v>
      </c>
      <c r="AG6" s="36">
        <f t="shared" si="9"/>
        <v>-15349.5</v>
      </c>
      <c r="AH6" s="36">
        <f t="shared" si="10"/>
        <v>0</v>
      </c>
      <c r="AI6" s="36">
        <f t="shared" si="11"/>
        <v>0</v>
      </c>
      <c r="AJ6" s="36"/>
      <c r="AK6" s="36">
        <f t="shared" si="12"/>
        <v>0</v>
      </c>
      <c r="AL6" s="37"/>
      <c r="AM6" s="42"/>
      <c r="AN6" s="43"/>
      <c r="AP6" s="34">
        <v>33379.6</v>
      </c>
      <c r="AQ6" s="25">
        <f t="shared" si="13"/>
        <v>-3891.5999999999985</v>
      </c>
    </row>
    <row r="7" spans="1:43" ht="33.75">
      <c r="A7" s="31">
        <v>3</v>
      </c>
      <c r="B7" s="32" t="s">
        <v>17</v>
      </c>
      <c r="C7" s="45">
        <v>2636</v>
      </c>
      <c r="D7" s="36">
        <v>10743.3</v>
      </c>
      <c r="E7" s="36">
        <v>2365.2</v>
      </c>
      <c r="F7" s="34">
        <f t="shared" si="0"/>
        <v>13108.5</v>
      </c>
      <c r="G7" s="35">
        <f t="shared" si="1"/>
        <v>4.972875569044006</v>
      </c>
      <c r="H7" s="36">
        <f t="shared" si="14"/>
        <v>4.59137284667209</v>
      </c>
      <c r="I7" s="36">
        <f t="shared" si="2"/>
        <v>1</v>
      </c>
      <c r="J7" s="27">
        <v>6213.3</v>
      </c>
      <c r="K7" s="27">
        <v>12.9</v>
      </c>
      <c r="L7" s="27">
        <v>96</v>
      </c>
      <c r="M7" s="36"/>
      <c r="N7" s="36">
        <v>40</v>
      </c>
      <c r="O7" s="36">
        <v>34.1</v>
      </c>
      <c r="P7" s="36">
        <v>87</v>
      </c>
      <c r="Q7" s="36">
        <v>3304.7</v>
      </c>
      <c r="R7" s="36">
        <v>331.1</v>
      </c>
      <c r="S7" s="36">
        <v>352.7</v>
      </c>
      <c r="T7" s="36">
        <v>5641.7</v>
      </c>
      <c r="U7" s="36">
        <v>3.9</v>
      </c>
      <c r="V7" s="36">
        <v>7</v>
      </c>
      <c r="W7" s="28">
        <v>262.8</v>
      </c>
      <c r="X7" s="36">
        <v>12.9</v>
      </c>
      <c r="Y7" s="36"/>
      <c r="Z7" s="37">
        <f t="shared" si="3"/>
        <v>16400.100000000002</v>
      </c>
      <c r="AA7" s="36"/>
      <c r="AB7" s="37">
        <f t="shared" si="4"/>
        <v>16400.100000000002</v>
      </c>
      <c r="AC7" s="36">
        <f t="shared" si="5"/>
        <v>3291.600000000002</v>
      </c>
      <c r="AD7" s="36">
        <f t="shared" si="6"/>
        <v>1</v>
      </c>
      <c r="AE7" s="36">
        <f t="shared" si="7"/>
        <v>3291.600000000002</v>
      </c>
      <c r="AF7" s="36">
        <f t="shared" si="8"/>
        <v>-678.3306666666664</v>
      </c>
      <c r="AG7" s="36">
        <f t="shared" si="9"/>
        <v>-678.3306666666664</v>
      </c>
      <c r="AH7" s="36">
        <f t="shared" si="10"/>
        <v>3969.930666666669</v>
      </c>
      <c r="AI7" s="36">
        <f t="shared" si="11"/>
        <v>1</v>
      </c>
      <c r="AJ7" s="36"/>
      <c r="AK7" s="36">
        <f t="shared" si="12"/>
        <v>3969.930666666669</v>
      </c>
      <c r="AL7" s="37">
        <f>AG7+AK7</f>
        <v>3291.6000000000026</v>
      </c>
      <c r="AM7" s="44">
        <v>958.5</v>
      </c>
      <c r="AN7" s="43">
        <v>2633.3</v>
      </c>
      <c r="AO7" s="48"/>
      <c r="AP7" s="34">
        <v>12678.2</v>
      </c>
      <c r="AQ7" s="25">
        <f t="shared" si="13"/>
        <v>430.2999999999993</v>
      </c>
    </row>
    <row r="8" spans="1:43" ht="33.75">
      <c r="A8" s="31">
        <v>4</v>
      </c>
      <c r="B8" s="32" t="s">
        <v>18</v>
      </c>
      <c r="C8" s="45">
        <v>602</v>
      </c>
      <c r="D8" s="36">
        <v>2783.7</v>
      </c>
      <c r="E8" s="36">
        <v>28.7</v>
      </c>
      <c r="F8" s="34">
        <f t="shared" si="0"/>
        <v>2812.3999999999996</v>
      </c>
      <c r="G8" s="35">
        <f t="shared" si="1"/>
        <v>4.671760797342192</v>
      </c>
      <c r="H8" s="36">
        <f t="shared" si="14"/>
        <v>4.892487618373903</v>
      </c>
      <c r="I8" s="36">
        <f t="shared" si="2"/>
        <v>1</v>
      </c>
      <c r="J8" s="27">
        <v>2540.9</v>
      </c>
      <c r="K8" s="27">
        <v>12.9</v>
      </c>
      <c r="L8" s="27"/>
      <c r="M8" s="36"/>
      <c r="N8" s="36">
        <v>40</v>
      </c>
      <c r="O8" s="36"/>
      <c r="P8" s="36">
        <v>19.9</v>
      </c>
      <c r="Q8" s="36">
        <v>1238.4</v>
      </c>
      <c r="R8" s="36"/>
      <c r="S8" s="36"/>
      <c r="T8" s="36">
        <v>912.7</v>
      </c>
      <c r="U8" s="36">
        <v>1</v>
      </c>
      <c r="V8" s="36">
        <v>2</v>
      </c>
      <c r="W8" s="28">
        <v>0</v>
      </c>
      <c r="X8" s="36">
        <v>3</v>
      </c>
      <c r="Y8" s="36"/>
      <c r="Z8" s="37">
        <f t="shared" si="3"/>
        <v>4770.8</v>
      </c>
      <c r="AA8" s="38"/>
      <c r="AB8" s="37">
        <f t="shared" si="4"/>
        <v>4770.8</v>
      </c>
      <c r="AC8" s="36">
        <f t="shared" si="5"/>
        <v>1958.4000000000005</v>
      </c>
      <c r="AD8" s="36">
        <f t="shared" si="6"/>
        <v>1</v>
      </c>
      <c r="AE8" s="36">
        <f t="shared" si="7"/>
        <v>1958.4000000000005</v>
      </c>
      <c r="AF8" s="36">
        <f t="shared" si="8"/>
        <v>-154.91466666666662</v>
      </c>
      <c r="AG8" s="36">
        <f t="shared" si="9"/>
        <v>-154.91466666666662</v>
      </c>
      <c r="AH8" s="36">
        <f t="shared" si="10"/>
        <v>2113.314666666667</v>
      </c>
      <c r="AI8" s="36">
        <f t="shared" si="11"/>
        <v>1</v>
      </c>
      <c r="AJ8" s="36"/>
      <c r="AK8" s="36">
        <f t="shared" si="12"/>
        <v>2113.314666666667</v>
      </c>
      <c r="AL8" s="37">
        <f>AG8+AK8</f>
        <v>1958.4000000000005</v>
      </c>
      <c r="AM8" s="44">
        <v>1039.1</v>
      </c>
      <c r="AN8" s="43">
        <v>1566.7</v>
      </c>
      <c r="AO8" s="48"/>
      <c r="AP8" s="34">
        <v>2994.3</v>
      </c>
      <c r="AQ8" s="25">
        <f t="shared" si="13"/>
        <v>-181.90000000000055</v>
      </c>
    </row>
    <row r="9" spans="1:43" ht="45">
      <c r="A9" s="31">
        <v>5</v>
      </c>
      <c r="B9" s="32" t="s">
        <v>45</v>
      </c>
      <c r="C9" s="45">
        <v>1964</v>
      </c>
      <c r="D9" s="36">
        <v>4923</v>
      </c>
      <c r="E9" s="36">
        <v>5.7</v>
      </c>
      <c r="F9" s="34">
        <f t="shared" si="0"/>
        <v>4928.7</v>
      </c>
      <c r="G9" s="35">
        <f t="shared" si="1"/>
        <v>2.509521384928717</v>
      </c>
      <c r="H9" s="36">
        <f t="shared" si="14"/>
        <v>7.054727030787379</v>
      </c>
      <c r="I9" s="36">
        <f t="shared" si="2"/>
        <v>1</v>
      </c>
      <c r="J9" s="27">
        <v>3846.6</v>
      </c>
      <c r="K9" s="27">
        <v>25.8</v>
      </c>
      <c r="L9" s="27"/>
      <c r="M9" s="36"/>
      <c r="N9" s="36">
        <v>40</v>
      </c>
      <c r="O9" s="36"/>
      <c r="P9" s="36">
        <v>64.8</v>
      </c>
      <c r="Q9" s="36">
        <v>3181.6</v>
      </c>
      <c r="R9" s="36"/>
      <c r="S9" s="36"/>
      <c r="T9" s="36">
        <v>5165.2</v>
      </c>
      <c r="U9" s="36">
        <v>2.8</v>
      </c>
      <c r="V9" s="36">
        <v>5</v>
      </c>
      <c r="W9" s="28">
        <v>224.4</v>
      </c>
      <c r="X9" s="36">
        <v>9.6</v>
      </c>
      <c r="Y9" s="36"/>
      <c r="Z9" s="37">
        <f t="shared" si="3"/>
        <v>12565.8</v>
      </c>
      <c r="AA9" s="38"/>
      <c r="AB9" s="37">
        <f t="shared" si="4"/>
        <v>12565.8</v>
      </c>
      <c r="AC9" s="36">
        <f t="shared" si="5"/>
        <v>7637.099999999999</v>
      </c>
      <c r="AD9" s="36">
        <f t="shared" si="6"/>
        <v>1</v>
      </c>
      <c r="AE9" s="36">
        <f t="shared" si="7"/>
        <v>7637.099999999999</v>
      </c>
      <c r="AF9" s="36">
        <f t="shared" si="8"/>
        <v>-505.40266666666645</v>
      </c>
      <c r="AG9" s="36">
        <f t="shared" si="9"/>
        <v>-505.40266666666645</v>
      </c>
      <c r="AH9" s="36">
        <f t="shared" si="10"/>
        <v>8142.502666666666</v>
      </c>
      <c r="AI9" s="36">
        <f t="shared" si="11"/>
        <v>1</v>
      </c>
      <c r="AJ9" s="36"/>
      <c r="AK9" s="36">
        <f t="shared" si="12"/>
        <v>8142.502666666666</v>
      </c>
      <c r="AL9" s="37">
        <f>AG9+AK9</f>
        <v>7637.099999999999</v>
      </c>
      <c r="AM9" s="44">
        <v>5708</v>
      </c>
      <c r="AN9" s="43">
        <v>6109.7</v>
      </c>
      <c r="AO9" s="48"/>
      <c r="AP9" s="34">
        <v>5231.7</v>
      </c>
      <c r="AQ9" s="25">
        <f t="shared" si="13"/>
        <v>-303</v>
      </c>
    </row>
    <row r="10" spans="1:43" ht="36" customHeight="1">
      <c r="A10" s="31">
        <v>6</v>
      </c>
      <c r="B10" s="32" t="s">
        <v>19</v>
      </c>
      <c r="C10" s="45">
        <v>1600</v>
      </c>
      <c r="D10" s="36">
        <v>2528.3</v>
      </c>
      <c r="E10" s="36">
        <v>14.2</v>
      </c>
      <c r="F10" s="34">
        <f t="shared" si="0"/>
        <v>2542.5</v>
      </c>
      <c r="G10" s="35">
        <f t="shared" si="1"/>
        <v>1.5890625</v>
      </c>
      <c r="H10" s="36">
        <f t="shared" si="14"/>
        <v>7.975185915716096</v>
      </c>
      <c r="I10" s="36">
        <f t="shared" si="2"/>
        <v>1</v>
      </c>
      <c r="J10" s="27">
        <v>3578.3</v>
      </c>
      <c r="K10" s="27">
        <v>12.9</v>
      </c>
      <c r="L10" s="27">
        <v>42</v>
      </c>
      <c r="M10" s="36"/>
      <c r="N10" s="36">
        <v>40</v>
      </c>
      <c r="O10" s="36"/>
      <c r="P10" s="36">
        <v>52.8</v>
      </c>
      <c r="Q10" s="36">
        <v>803.8</v>
      </c>
      <c r="R10" s="36"/>
      <c r="S10" s="36"/>
      <c r="T10" s="36">
        <v>1691.3</v>
      </c>
      <c r="U10" s="36">
        <v>2.3</v>
      </c>
      <c r="V10" s="36">
        <v>5</v>
      </c>
      <c r="W10" s="28">
        <v>62.4</v>
      </c>
      <c r="X10" s="36">
        <v>7.8</v>
      </c>
      <c r="Y10" s="36"/>
      <c r="Z10" s="37">
        <f t="shared" si="3"/>
        <v>6298.6</v>
      </c>
      <c r="AA10" s="38"/>
      <c r="AB10" s="37">
        <f t="shared" si="4"/>
        <v>6298.6</v>
      </c>
      <c r="AC10" s="36">
        <f t="shared" si="5"/>
        <v>3756.1000000000004</v>
      </c>
      <c r="AD10" s="36">
        <f t="shared" si="6"/>
        <v>1</v>
      </c>
      <c r="AE10" s="36">
        <f t="shared" si="7"/>
        <v>3756.1000000000004</v>
      </c>
      <c r="AF10" s="36">
        <f t="shared" si="8"/>
        <v>-411.7333333333331</v>
      </c>
      <c r="AG10" s="36">
        <f t="shared" si="9"/>
        <v>-411.7333333333331</v>
      </c>
      <c r="AH10" s="36">
        <f t="shared" si="10"/>
        <v>4167.833333333334</v>
      </c>
      <c r="AI10" s="36">
        <f t="shared" si="11"/>
        <v>1</v>
      </c>
      <c r="AJ10" s="36"/>
      <c r="AK10" s="36">
        <f t="shared" si="12"/>
        <v>4167.833333333334</v>
      </c>
      <c r="AL10" s="37">
        <f>AG10+AK10</f>
        <v>3756.100000000001</v>
      </c>
      <c r="AM10" s="44">
        <v>3260.9</v>
      </c>
      <c r="AN10" s="43">
        <v>3004.9</v>
      </c>
      <c r="AO10" s="48"/>
      <c r="AP10" s="34">
        <v>2447</v>
      </c>
      <c r="AQ10" s="25">
        <f t="shared" si="13"/>
        <v>95.5</v>
      </c>
    </row>
    <row r="11" spans="1:43" ht="33.75">
      <c r="A11" s="31">
        <v>7</v>
      </c>
      <c r="B11" s="32" t="s">
        <v>20</v>
      </c>
      <c r="C11" s="45">
        <v>438</v>
      </c>
      <c r="D11" s="36">
        <v>1908.8</v>
      </c>
      <c r="E11" s="36">
        <v>4.3</v>
      </c>
      <c r="F11" s="34">
        <f t="shared" si="0"/>
        <v>1913.1</v>
      </c>
      <c r="G11" s="35">
        <f t="shared" si="1"/>
        <v>4.367808219178082</v>
      </c>
      <c r="H11" s="36">
        <f t="shared" si="14"/>
        <v>5.196440196538013</v>
      </c>
      <c r="I11" s="36">
        <f t="shared" si="2"/>
        <v>1</v>
      </c>
      <c r="J11" s="27">
        <v>2243.9</v>
      </c>
      <c r="K11" s="27">
        <v>12.9</v>
      </c>
      <c r="L11" s="27"/>
      <c r="M11" s="36"/>
      <c r="N11" s="36">
        <v>40</v>
      </c>
      <c r="O11" s="36"/>
      <c r="P11" s="36">
        <v>14.5</v>
      </c>
      <c r="Q11" s="36">
        <v>619.2</v>
      </c>
      <c r="R11" s="36"/>
      <c r="S11" s="36"/>
      <c r="T11" s="36">
        <v>993.6</v>
      </c>
      <c r="U11" s="36">
        <v>1</v>
      </c>
      <c r="V11" s="36">
        <v>1</v>
      </c>
      <c r="W11" s="28">
        <v>0</v>
      </c>
      <c r="X11" s="36">
        <v>2.1</v>
      </c>
      <c r="Y11" s="36"/>
      <c r="Z11" s="37">
        <f t="shared" si="3"/>
        <v>3928.2</v>
      </c>
      <c r="AA11" s="38"/>
      <c r="AB11" s="37">
        <f t="shared" si="4"/>
        <v>3928.2</v>
      </c>
      <c r="AC11" s="36">
        <f t="shared" si="5"/>
        <v>2015.1</v>
      </c>
      <c r="AD11" s="36">
        <f t="shared" si="6"/>
        <v>1</v>
      </c>
      <c r="AE11" s="36">
        <f>AC11</f>
        <v>2015.1</v>
      </c>
      <c r="AF11" s="36">
        <f t="shared" si="8"/>
        <v>-112.71199999999996</v>
      </c>
      <c r="AG11" s="36">
        <f>IF(AF11&gt;=AC11,AC11,AF11)</f>
        <v>-112.71199999999996</v>
      </c>
      <c r="AH11" s="36">
        <f t="shared" si="10"/>
        <v>2127.812</v>
      </c>
      <c r="AI11" s="36">
        <f t="shared" si="11"/>
        <v>1</v>
      </c>
      <c r="AJ11" s="36"/>
      <c r="AK11" s="36">
        <f>AH11*AI11</f>
        <v>2127.812</v>
      </c>
      <c r="AL11" s="37">
        <f>AG11+AK11</f>
        <v>2015.1</v>
      </c>
      <c r="AM11" s="44">
        <v>1496.3</v>
      </c>
      <c r="AN11" s="43">
        <v>1612</v>
      </c>
      <c r="AO11" s="48"/>
      <c r="AP11" s="34">
        <v>1954</v>
      </c>
      <c r="AQ11" s="25">
        <f>F11-AP11</f>
        <v>-40.90000000000009</v>
      </c>
    </row>
    <row r="12" spans="1:43" s="10" customFormat="1" ht="33">
      <c r="A12" s="33"/>
      <c r="B12" s="23" t="s">
        <v>21</v>
      </c>
      <c r="C12" s="39">
        <f>SUM(C5:C11)</f>
        <v>19725</v>
      </c>
      <c r="D12" s="40">
        <f>SUM(D5:D11)</f>
        <v>89406.3</v>
      </c>
      <c r="E12" s="40">
        <f>SUM(E5:E11)</f>
        <v>4921.099999999999</v>
      </c>
      <c r="F12" s="40">
        <f>SUM(F5:F11)</f>
        <v>94327.4</v>
      </c>
      <c r="G12" s="41">
        <f t="shared" si="1"/>
        <v>4.782124207858048</v>
      </c>
      <c r="H12" s="40">
        <f>G12*2</f>
        <v>9.564248415716095</v>
      </c>
      <c r="I12" s="40"/>
      <c r="J12" s="40">
        <f aca="true" t="shared" si="15" ref="J12:X12">SUM(J5:J11)</f>
        <v>25193.4</v>
      </c>
      <c r="K12" s="40">
        <f t="shared" si="15"/>
        <v>103.20000000000002</v>
      </c>
      <c r="L12" s="40">
        <f t="shared" si="15"/>
        <v>180</v>
      </c>
      <c r="M12" s="40">
        <f t="shared" si="15"/>
        <v>126.7</v>
      </c>
      <c r="N12" s="40">
        <f t="shared" si="15"/>
        <v>280</v>
      </c>
      <c r="O12" s="40">
        <f t="shared" si="15"/>
        <v>102.30000000000001</v>
      </c>
      <c r="P12" s="40">
        <f t="shared" si="15"/>
        <v>650.9999999999999</v>
      </c>
      <c r="Q12" s="40">
        <f t="shared" si="15"/>
        <v>15980.5</v>
      </c>
      <c r="R12" s="40">
        <f t="shared" si="15"/>
        <v>1607.1</v>
      </c>
      <c r="S12" s="40">
        <f t="shared" si="15"/>
        <v>2286.2999999999997</v>
      </c>
      <c r="T12" s="40">
        <f t="shared" si="15"/>
        <v>36703.8</v>
      </c>
      <c r="U12" s="40">
        <f t="shared" si="15"/>
        <v>29</v>
      </c>
      <c r="V12" s="40">
        <f t="shared" si="15"/>
        <v>54</v>
      </c>
      <c r="W12" s="40">
        <f t="shared" si="15"/>
        <v>781.1999999999999</v>
      </c>
      <c r="X12" s="40">
        <f t="shared" si="15"/>
        <v>97.09999999999998</v>
      </c>
      <c r="Y12" s="40">
        <f>SUM(Y5:Y11)</f>
        <v>0</v>
      </c>
      <c r="Z12" s="40">
        <f>SUM(Z5:Z11)</f>
        <v>84175.6</v>
      </c>
      <c r="AA12" s="40">
        <f>SUM(AA5:AA11)</f>
        <v>0</v>
      </c>
      <c r="AB12" s="40">
        <f>SUM(AB5:AB11)</f>
        <v>84175.6</v>
      </c>
      <c r="AC12" s="40">
        <f>SUM(AC5:AC11)</f>
        <v>-10151.799999999996</v>
      </c>
      <c r="AD12" s="40"/>
      <c r="AE12" s="40">
        <f>SUM(AE5:AE11)</f>
        <v>-10151.799999999996</v>
      </c>
      <c r="AF12" s="40">
        <f>SUM(AF5:AF11)</f>
        <v>-4396.539999999997</v>
      </c>
      <c r="AG12" s="40">
        <f>SUM(AG5:AG11)</f>
        <v>-30673.19333333333</v>
      </c>
      <c r="AH12" s="40">
        <f>SUM(AH5:AH11)</f>
        <v>20521.393333333333</v>
      </c>
      <c r="AI12" s="40"/>
      <c r="AJ12" s="40">
        <f>SUM(AJ6:AJ11)</f>
        <v>0</v>
      </c>
      <c r="AK12" s="40">
        <f>SUM(AK5:AK11)</f>
        <v>20521.393333333333</v>
      </c>
      <c r="AL12" s="40">
        <f>SUM(AL5:AL11)</f>
        <v>18658.300000000003</v>
      </c>
      <c r="AM12" s="40">
        <f>SUM(AM5:AM11)</f>
        <v>12462.8</v>
      </c>
      <c r="AN12" s="40">
        <f>SUM(AN5:AN11)</f>
        <v>14926.6</v>
      </c>
      <c r="AO12" s="37"/>
      <c r="AP12" s="47">
        <f>SUM(AP5:AP11)</f>
        <v>94327.4</v>
      </c>
      <c r="AQ12" s="47">
        <f>SUM(AQ5:AQ11)</f>
        <v>-1.3642420526593924E-12</v>
      </c>
    </row>
    <row r="13" spans="2:43" ht="12.75">
      <c r="B13" s="7" t="s">
        <v>22</v>
      </c>
      <c r="F13" s="3">
        <f>SUM(F7:F11)</f>
        <v>25305.199999999997</v>
      </c>
      <c r="J13" s="3"/>
      <c r="K13" s="3"/>
      <c r="L13" s="3"/>
      <c r="AB13" s="11"/>
      <c r="AL13" s="3"/>
      <c r="AQ13" s="3">
        <f>SUM(AQ7:AQ11)</f>
        <v>-1.3642420526593924E-12</v>
      </c>
    </row>
    <row r="14" spans="2:38" ht="12.75">
      <c r="B14" s="7" t="s">
        <v>23</v>
      </c>
      <c r="F14" s="2">
        <v>25305.2</v>
      </c>
      <c r="J14" s="17"/>
      <c r="K14" s="17"/>
      <c r="L14" s="17"/>
      <c r="M14" s="18"/>
      <c r="N14" s="18"/>
      <c r="O14" s="17"/>
      <c r="P14" s="17"/>
      <c r="Q14" s="17"/>
      <c r="R14" s="17"/>
      <c r="S14" s="18"/>
      <c r="T14" s="17"/>
      <c r="U14" s="19"/>
      <c r="V14" s="17"/>
      <c r="W14" s="17"/>
      <c r="X14" s="17"/>
      <c r="Y14" s="19"/>
      <c r="Z14" s="17"/>
      <c r="AL14" s="3"/>
    </row>
    <row r="15" spans="2:38" ht="12.75">
      <c r="B15" s="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L15" s="3"/>
    </row>
  </sheetData>
  <sheetProtection/>
  <mergeCells count="25">
    <mergeCell ref="AA3:AA4"/>
    <mergeCell ref="D3:E3"/>
    <mergeCell ref="H3:H4"/>
    <mergeCell ref="I3:I4"/>
    <mergeCell ref="A1:AL1"/>
    <mergeCell ref="AI2:AL2"/>
    <mergeCell ref="AK3:AK4"/>
    <mergeCell ref="AL3:AL4"/>
    <mergeCell ref="R4:T4"/>
    <mergeCell ref="AI3:AI4"/>
    <mergeCell ref="AC3:AC4"/>
    <mergeCell ref="AG3:AG4"/>
    <mergeCell ref="AH3:AH4"/>
    <mergeCell ref="AN3:AN4"/>
    <mergeCell ref="AJ3:AJ4"/>
    <mergeCell ref="A3:A4"/>
    <mergeCell ref="B3:B4"/>
    <mergeCell ref="C3:C4"/>
    <mergeCell ref="AD3:AD4"/>
    <mergeCell ref="AE3:AE4"/>
    <mergeCell ref="AF3:AF4"/>
    <mergeCell ref="F3:F4"/>
    <mergeCell ref="G3:G4"/>
    <mergeCell ref="AB3:AB4"/>
    <mergeCell ref="Z3:Z4"/>
  </mergeCells>
  <printOptions/>
  <pageMargins left="0.11811023622047245" right="0" top="0.7480314960629921" bottom="0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Стифеева</cp:lastModifiedBy>
  <cp:lastPrinted>2021-11-11T08:34:50Z</cp:lastPrinted>
  <dcterms:created xsi:type="dcterms:W3CDTF">1996-10-08T23:32:33Z</dcterms:created>
  <dcterms:modified xsi:type="dcterms:W3CDTF">2021-11-11T08:53:30Z</dcterms:modified>
  <cp:category/>
  <cp:version/>
  <cp:contentType/>
  <cp:contentStatus/>
</cp:coreProperties>
</file>